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AppData\Roaming\VNPT Plugin\Files\FileTemp\"/>
    </mc:Choice>
  </mc:AlternateContent>
  <xr:revisionPtr revIDLastSave="0" documentId="13_ncr:1_{AFCC15B0-0F95-455E-85DE-128BA6231349}" xr6:coauthVersionLast="47" xr6:coauthVersionMax="47" xr10:uidLastSave="{00000000-0000-0000-0000-000000000000}"/>
  <bookViews>
    <workbookView xWindow="1800" yWindow="0" windowWidth="21240" windowHeight="11748" xr2:uid="{A49964BB-11F0-42C5-8D4E-49FCC42CCCD9}"/>
  </bookViews>
  <sheets>
    <sheet name="Biểu cân đối" sheetId="1" r:id="rId1"/>
    <sheet name="Quyết toán thu NS" sheetId="2" r:id="rId2"/>
    <sheet name="Quyết toán chi ngân sách" sheetId="3" r:id="rId3"/>
    <sheet name="Quyết toán chi theo lĩnh vực" sheetId="4" r:id="rId4"/>
    <sheet name="Quyết toán chi đầu phát triển" sheetId="7" r:id="rId5"/>
    <sheet name="Bảng quỹ ngoài ngân sách" sheetId="8" r:id="rId6"/>
    <sheet name="Thu DV" sheetId="9" r:id="rId7"/>
    <sheet name="Quyết toán chi đầu tư" sheetId="5" state="hidden" r:id="rId8"/>
    <sheet name="Quyết toán CTX, CTMT" sheetId="6" state="hidden" r:id="rId9"/>
  </sheets>
  <externalReferences>
    <externalReference r:id="rId10"/>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9" l="1"/>
  <c r="C15" i="9"/>
  <c r="D14" i="9"/>
  <c r="C14" i="9"/>
  <c r="D13" i="9"/>
  <c r="C13" i="9"/>
  <c r="D12" i="9"/>
  <c r="C12" i="9"/>
  <c r="D11" i="9"/>
  <c r="C11" i="9"/>
  <c r="D9" i="9"/>
  <c r="D8" i="9" s="1"/>
  <c r="C9" i="9"/>
  <c r="C8" i="9" s="1"/>
  <c r="N18" i="8"/>
  <c r="M18" i="8"/>
  <c r="F18" i="8"/>
  <c r="H18" i="8" s="1"/>
  <c r="N17" i="8"/>
  <c r="M17" i="8"/>
  <c r="F17" i="8"/>
  <c r="H17" i="8" s="1"/>
  <c r="N16" i="8"/>
  <c r="M16" i="8"/>
  <c r="F16" i="8"/>
  <c r="H16" i="8" s="1"/>
  <c r="N15" i="8"/>
  <c r="M15" i="8"/>
  <c r="F15" i="8"/>
  <c r="H15" i="8" s="1"/>
  <c r="N14" i="8"/>
  <c r="M14" i="8"/>
  <c r="F14" i="8"/>
  <c r="H14" i="8" s="1"/>
  <c r="N13" i="8"/>
  <c r="N11" i="8" s="1"/>
  <c r="M13" i="8"/>
  <c r="F13" i="8"/>
  <c r="H13" i="8" s="1"/>
  <c r="N12" i="8"/>
  <c r="M12" i="8"/>
  <c r="F12" i="8"/>
  <c r="H12" i="8" s="1"/>
  <c r="P11" i="8"/>
  <c r="O11" i="8"/>
  <c r="M11" i="8"/>
  <c r="L11" i="8"/>
  <c r="K11" i="8"/>
  <c r="J11" i="8"/>
  <c r="I11" i="8"/>
  <c r="G11" i="8"/>
  <c r="E11" i="8"/>
  <c r="D11" i="8"/>
  <c r="C11" i="8"/>
  <c r="AH79" i="7"/>
  <c r="AA79" i="7"/>
  <c r="AF79" i="7" s="1"/>
  <c r="V79" i="7"/>
  <c r="AE78" i="7"/>
  <c r="AD78" i="7"/>
  <c r="AC78" i="7"/>
  <c r="AH78" i="7" s="1"/>
  <c r="AB78" i="7"/>
  <c r="AA78" i="7"/>
  <c r="AF78" i="7" s="1"/>
  <c r="Z78" i="7"/>
  <c r="Y78" i="7"/>
  <c r="X78" i="7"/>
  <c r="W78" i="7"/>
  <c r="V78" i="7"/>
  <c r="AA77" i="7"/>
  <c r="AA76" i="7" s="1"/>
  <c r="V77" i="7"/>
  <c r="V76" i="7" s="1"/>
  <c r="AE76" i="7"/>
  <c r="AD76" i="7"/>
  <c r="AD21" i="7" s="1"/>
  <c r="AD12" i="7" s="1"/>
  <c r="AD11" i="7" s="1"/>
  <c r="AD10" i="7" s="1"/>
  <c r="AC76" i="7"/>
  <c r="AC21" i="7" s="1"/>
  <c r="AB76" i="7"/>
  <c r="AB21" i="7" s="1"/>
  <c r="Z76" i="7"/>
  <c r="Y76" i="7"/>
  <c r="X76" i="7"/>
  <c r="W76" i="7"/>
  <c r="AA75" i="7"/>
  <c r="AF75" i="7" s="1"/>
  <c r="Y75" i="7"/>
  <c r="Y57" i="7" s="1"/>
  <c r="X75" i="7"/>
  <c r="AH75" i="7" s="1"/>
  <c r="V75" i="7"/>
  <c r="AH74" i="7"/>
  <c r="AA74" i="7"/>
  <c r="AF74" i="7" s="1"/>
  <c r="V74" i="7"/>
  <c r="AH73" i="7"/>
  <c r="AA73" i="7"/>
  <c r="AF73" i="7" s="1"/>
  <c r="V73" i="7"/>
  <c r="AH72" i="7"/>
  <c r="AA72" i="7"/>
  <c r="AF72" i="7" s="1"/>
  <c r="V72" i="7"/>
  <c r="AH71" i="7"/>
  <c r="AA71" i="7"/>
  <c r="AF71" i="7" s="1"/>
  <c r="V71" i="7"/>
  <c r="AH70" i="7"/>
  <c r="AA70" i="7"/>
  <c r="AF70" i="7" s="1"/>
  <c r="V70" i="7"/>
  <c r="AH69" i="7"/>
  <c r="AA69" i="7"/>
  <c r="AF69" i="7" s="1"/>
  <c r="V69" i="7"/>
  <c r="AH68" i="7"/>
  <c r="AA68" i="7"/>
  <c r="AF68" i="7" s="1"/>
  <c r="V68" i="7"/>
  <c r="AH67" i="7"/>
  <c r="AA67" i="7"/>
  <c r="AF67" i="7" s="1"/>
  <c r="V67" i="7"/>
  <c r="AA66" i="7"/>
  <c r="AF66" i="7" s="1"/>
  <c r="V66" i="7"/>
  <c r="AH65" i="7"/>
  <c r="AF65" i="7"/>
  <c r="AA65" i="7"/>
  <c r="V65" i="7"/>
  <c r="AH64" i="7"/>
  <c r="AA64" i="7"/>
  <c r="AF64" i="7" s="1"/>
  <c r="V64" i="7"/>
  <c r="AH63" i="7"/>
  <c r="AA63" i="7"/>
  <c r="AF63" i="7" s="1"/>
  <c r="V63" i="7"/>
  <c r="AH62" i="7"/>
  <c r="AF62" i="7"/>
  <c r="AA62" i="7"/>
  <c r="V62" i="7"/>
  <c r="AH61" i="7"/>
  <c r="AA61" i="7"/>
  <c r="AF61" i="7" s="1"/>
  <c r="V61" i="7"/>
  <c r="AH60" i="7"/>
  <c r="AA60" i="7"/>
  <c r="AA57" i="7" s="1"/>
  <c r="AF57" i="7" s="1"/>
  <c r="V60" i="7"/>
  <c r="V57" i="7" s="1"/>
  <c r="AH59" i="7"/>
  <c r="AF59" i="7"/>
  <c r="AA59" i="7"/>
  <c r="V59" i="7"/>
  <c r="AF58" i="7"/>
  <c r="AA58" i="7"/>
  <c r="V58" i="7"/>
  <c r="AJ57" i="7"/>
  <c r="AI57" i="7"/>
  <c r="AG57" i="7"/>
  <c r="AE57" i="7"/>
  <c r="AE21" i="7" s="1"/>
  <c r="AE12" i="7" s="1"/>
  <c r="AE11" i="7" s="1"/>
  <c r="AE10" i="7" s="1"/>
  <c r="AD57" i="7"/>
  <c r="AC57" i="7"/>
  <c r="AB57" i="7"/>
  <c r="Z57" i="7"/>
  <c r="W57" i="7"/>
  <c r="AH56" i="7"/>
  <c r="AA56" i="7"/>
  <c r="AF56" i="7" s="1"/>
  <c r="V56" i="7"/>
  <c r="AH55" i="7"/>
  <c r="AA55" i="7"/>
  <c r="AF55" i="7" s="1"/>
  <c r="V55" i="7"/>
  <c r="AA54" i="7"/>
  <c r="AF54" i="7" s="1"/>
  <c r="V54" i="7"/>
  <c r="AH53" i="7"/>
  <c r="AA53" i="7"/>
  <c r="AF53" i="7" s="1"/>
  <c r="V53" i="7"/>
  <c r="AH52" i="7"/>
  <c r="AA52" i="7"/>
  <c r="AF52" i="7" s="1"/>
  <c r="V52" i="7"/>
  <c r="AA51" i="7"/>
  <c r="AF51" i="7" s="1"/>
  <c r="V51" i="7"/>
  <c r="AH50" i="7"/>
  <c r="AA50" i="7"/>
  <c r="AF50" i="7" s="1"/>
  <c r="V50" i="7"/>
  <c r="AH49" i="7"/>
  <c r="AF49" i="7"/>
  <c r="AA49" i="7"/>
  <c r="V49" i="7"/>
  <c r="AH48" i="7"/>
  <c r="AA48" i="7"/>
  <c r="AF48" i="7" s="1"/>
  <c r="V48" i="7"/>
  <c r="AH47" i="7"/>
  <c r="AA47" i="7"/>
  <c r="AF47" i="7" s="1"/>
  <c r="V47" i="7"/>
  <c r="AH46" i="7"/>
  <c r="AF46" i="7"/>
  <c r="AA46" i="7"/>
  <c r="V46" i="7"/>
  <c r="AH45" i="7"/>
  <c r="AA45" i="7"/>
  <c r="AF45" i="7" s="1"/>
  <c r="V45" i="7"/>
  <c r="AH44" i="7"/>
  <c r="AA44" i="7"/>
  <c r="AF44" i="7" s="1"/>
  <c r="V44" i="7"/>
  <c r="AH43" i="7"/>
  <c r="AF43" i="7"/>
  <c r="AA43" i="7"/>
  <c r="V43" i="7"/>
  <c r="AH42" i="7"/>
  <c r="AA42" i="7"/>
  <c r="AF42" i="7" s="1"/>
  <c r="V42" i="7"/>
  <c r="AH41" i="7"/>
  <c r="AA41" i="7"/>
  <c r="AF41" i="7" s="1"/>
  <c r="V41" i="7"/>
  <c r="AH40" i="7"/>
  <c r="AF40" i="7"/>
  <c r="AA40" i="7"/>
  <c r="V40" i="7"/>
  <c r="AH39" i="7"/>
  <c r="AA39" i="7"/>
  <c r="AF39" i="7" s="1"/>
  <c r="V39" i="7"/>
  <c r="AH38" i="7"/>
  <c r="AA38" i="7"/>
  <c r="AF38" i="7" s="1"/>
  <c r="V38" i="7"/>
  <c r="AH37" i="7"/>
  <c r="AF37" i="7"/>
  <c r="AA37" i="7"/>
  <c r="V37" i="7"/>
  <c r="AE36" i="7"/>
  <c r="AA36" i="7"/>
  <c r="Z36" i="7"/>
  <c r="V36" i="7"/>
  <c r="AF36" i="7" s="1"/>
  <c r="AH35" i="7"/>
  <c r="AA35" i="7"/>
  <c r="AF35" i="7" s="1"/>
  <c r="V35" i="7"/>
  <c r="AH34" i="7"/>
  <c r="AA34" i="7"/>
  <c r="AF34" i="7" s="1"/>
  <c r="V34" i="7"/>
  <c r="AH33" i="7"/>
  <c r="AA33" i="7"/>
  <c r="AF33" i="7" s="1"/>
  <c r="V33" i="7"/>
  <c r="AH32" i="7"/>
  <c r="AA32" i="7"/>
  <c r="AF32" i="7" s="1"/>
  <c r="V32" i="7"/>
  <c r="AH31" i="7"/>
  <c r="AA31" i="7"/>
  <c r="AF31" i="7" s="1"/>
  <c r="V31" i="7"/>
  <c r="AH30" i="7"/>
  <c r="AA30" i="7"/>
  <c r="AF30" i="7" s="1"/>
  <c r="V30" i="7"/>
  <c r="AH29" i="7"/>
  <c r="AA29" i="7"/>
  <c r="AF29" i="7" s="1"/>
  <c r="V29" i="7"/>
  <c r="AH28" i="7"/>
  <c r="AA28" i="7"/>
  <c r="AF28" i="7" s="1"/>
  <c r="V28" i="7"/>
  <c r="AH27" i="7"/>
  <c r="AA27" i="7"/>
  <c r="AF27" i="7" s="1"/>
  <c r="V27" i="7"/>
  <c r="AH26" i="7"/>
  <c r="AA26" i="7"/>
  <c r="AF26" i="7" s="1"/>
  <c r="V26" i="7"/>
  <c r="AH25" i="7"/>
  <c r="AA25" i="7"/>
  <c r="AF25" i="7" s="1"/>
  <c r="V25" i="7"/>
  <c r="AH24" i="7"/>
  <c r="AA24" i="7"/>
  <c r="AF24" i="7" s="1"/>
  <c r="V24" i="7"/>
  <c r="AH23" i="7"/>
  <c r="AA23" i="7"/>
  <c r="AA22" i="7" s="1"/>
  <c r="V23" i="7"/>
  <c r="V22" i="7" s="1"/>
  <c r="AE22" i="7"/>
  <c r="AD22" i="7"/>
  <c r="AC22" i="7"/>
  <c r="AB22" i="7"/>
  <c r="Z22" i="7"/>
  <c r="Z21" i="7" s="1"/>
  <c r="Y22" i="7"/>
  <c r="Y21" i="7" s="1"/>
  <c r="Y12" i="7" s="1"/>
  <c r="Y11" i="7" s="1"/>
  <c r="Y10" i="7" s="1"/>
  <c r="X22" i="7"/>
  <c r="AH22" i="7" s="1"/>
  <c r="W22" i="7"/>
  <c r="W21" i="7"/>
  <c r="W12" i="7" s="1"/>
  <c r="W11" i="7" s="1"/>
  <c r="W10" i="7" s="1"/>
  <c r="AD20" i="7"/>
  <c r="AC20" i="7"/>
  <c r="AH20" i="7" s="1"/>
  <c r="X20" i="7"/>
  <c r="V20" i="7"/>
  <c r="AH19" i="7"/>
  <c r="AA19" i="7"/>
  <c r="AF19" i="7" s="1"/>
  <c r="V19" i="7"/>
  <c r="AH18" i="7"/>
  <c r="AF18" i="7"/>
  <c r="AA18" i="7"/>
  <c r="V18" i="7"/>
  <c r="AH17" i="7"/>
  <c r="AA17" i="7"/>
  <c r="AF17" i="7" s="1"/>
  <c r="V17" i="7"/>
  <c r="AH16" i="7"/>
  <c r="AA16" i="7"/>
  <c r="AF16" i="7" s="1"/>
  <c r="V16" i="7"/>
  <c r="V15" i="7" s="1"/>
  <c r="AE15" i="7"/>
  <c r="AB15" i="7"/>
  <c r="Z15" i="7"/>
  <c r="X15" i="7"/>
  <c r="W15" i="7"/>
  <c r="AA14" i="7"/>
  <c r="AA13" i="7" s="1"/>
  <c r="V14" i="7"/>
  <c r="V13" i="7" s="1"/>
  <c r="AE13" i="7"/>
  <c r="AC13" i="7"/>
  <c r="AB13" i="7"/>
  <c r="Z13" i="7"/>
  <c r="X13" i="7"/>
  <c r="W13" i="7"/>
  <c r="R86" i="6"/>
  <c r="Q86" i="6"/>
  <c r="K86" i="6"/>
  <c r="G86" i="6"/>
  <c r="C86" i="6"/>
  <c r="N85" i="6"/>
  <c r="G85" i="6"/>
  <c r="C85" i="6"/>
  <c r="G84" i="6"/>
  <c r="C84" i="6"/>
  <c r="G83" i="6"/>
  <c r="C83" i="6"/>
  <c r="N82" i="6"/>
  <c r="G82" i="6"/>
  <c r="C82" i="6"/>
  <c r="N81" i="6"/>
  <c r="G81" i="6"/>
  <c r="C81" i="6"/>
  <c r="N80" i="6"/>
  <c r="G80" i="6"/>
  <c r="C80" i="6"/>
  <c r="N79" i="6"/>
  <c r="G79" i="6"/>
  <c r="C79" i="6"/>
  <c r="N78" i="6"/>
  <c r="G78" i="6"/>
  <c r="C78" i="6"/>
  <c r="G77" i="6"/>
  <c r="C77" i="6"/>
  <c r="N76" i="6"/>
  <c r="G76" i="6"/>
  <c r="C76" i="6"/>
  <c r="N75" i="6"/>
  <c r="G75" i="6"/>
  <c r="C75" i="6"/>
  <c r="N74" i="6"/>
  <c r="G74" i="6" s="1"/>
  <c r="C74" i="6"/>
  <c r="N73" i="6"/>
  <c r="G73" i="6"/>
  <c r="C73" i="6"/>
  <c r="N72" i="6"/>
  <c r="G72" i="6"/>
  <c r="C72" i="6"/>
  <c r="N71" i="6"/>
  <c r="G71" i="6"/>
  <c r="C71" i="6"/>
  <c r="N70" i="6"/>
  <c r="G70" i="6" s="1"/>
  <c r="C70" i="6"/>
  <c r="N69" i="6"/>
  <c r="G69" i="6"/>
  <c r="C69" i="6"/>
  <c r="N68" i="6"/>
  <c r="G68" i="6"/>
  <c r="C68" i="6"/>
  <c r="N67" i="6"/>
  <c r="G67" i="6"/>
  <c r="C67" i="6"/>
  <c r="N66" i="6"/>
  <c r="G66" i="6" s="1"/>
  <c r="C66" i="6"/>
  <c r="N65" i="6"/>
  <c r="G65" i="6"/>
  <c r="C65" i="6"/>
  <c r="N64" i="6"/>
  <c r="G64" i="6"/>
  <c r="C64" i="6"/>
  <c r="G63" i="6"/>
  <c r="C63" i="6"/>
  <c r="N62" i="6"/>
  <c r="G62" i="6"/>
  <c r="C62" i="6"/>
  <c r="N61" i="6"/>
  <c r="G61" i="6"/>
  <c r="C61" i="6"/>
  <c r="N60" i="6"/>
  <c r="G60" i="6"/>
  <c r="C60" i="6"/>
  <c r="N59" i="6"/>
  <c r="G59" i="6"/>
  <c r="C59" i="6"/>
  <c r="N58" i="6"/>
  <c r="G58" i="6"/>
  <c r="C58" i="6"/>
  <c r="N57" i="6"/>
  <c r="G57" i="6"/>
  <c r="C57" i="6"/>
  <c r="N56" i="6"/>
  <c r="G56" i="6"/>
  <c r="C56" i="6"/>
  <c r="N55" i="6"/>
  <c r="G55" i="6"/>
  <c r="C55" i="6"/>
  <c r="N54" i="6"/>
  <c r="G54" i="6"/>
  <c r="C54" i="6"/>
  <c r="N53" i="6"/>
  <c r="G53" i="6"/>
  <c r="C53" i="6"/>
  <c r="N52" i="6"/>
  <c r="G52" i="6"/>
  <c r="C52" i="6"/>
  <c r="G51" i="6"/>
  <c r="C51" i="6"/>
  <c r="N50" i="6"/>
  <c r="G50" i="6"/>
  <c r="C50" i="6"/>
  <c r="N49" i="6"/>
  <c r="G49" i="6"/>
  <c r="C49" i="6"/>
  <c r="N48" i="6"/>
  <c r="G48" i="6"/>
  <c r="C48" i="6"/>
  <c r="N47" i="6"/>
  <c r="G47" i="6"/>
  <c r="C47" i="6"/>
  <c r="N46" i="6"/>
  <c r="G46" i="6"/>
  <c r="C46" i="6"/>
  <c r="N45" i="6"/>
  <c r="G45" i="6"/>
  <c r="C45" i="6"/>
  <c r="N44" i="6"/>
  <c r="G44" i="6"/>
  <c r="C44" i="6"/>
  <c r="N43" i="6"/>
  <c r="G43" i="6"/>
  <c r="C43" i="6"/>
  <c r="N42" i="6"/>
  <c r="G42" i="6"/>
  <c r="C42" i="6"/>
  <c r="N41" i="6"/>
  <c r="G41" i="6"/>
  <c r="C41" i="6"/>
  <c r="N40" i="6"/>
  <c r="G40" i="6"/>
  <c r="C40" i="6"/>
  <c r="N39" i="6"/>
  <c r="G39" i="6"/>
  <c r="C39" i="6"/>
  <c r="N38" i="6"/>
  <c r="G38" i="6"/>
  <c r="C38" i="6"/>
  <c r="N37" i="6"/>
  <c r="G37" i="6"/>
  <c r="C37" i="6"/>
  <c r="N36" i="6"/>
  <c r="G36" i="6"/>
  <c r="C36" i="6"/>
  <c r="N35" i="6"/>
  <c r="G35" i="6"/>
  <c r="C35" i="6"/>
  <c r="N34" i="6"/>
  <c r="G34" i="6"/>
  <c r="C34" i="6"/>
  <c r="N33" i="6"/>
  <c r="G33" i="6"/>
  <c r="C33" i="6"/>
  <c r="N32" i="6"/>
  <c r="G32" i="6"/>
  <c r="C32" i="6"/>
  <c r="G31" i="6"/>
  <c r="N30" i="6"/>
  <c r="G30" i="6"/>
  <c r="C30" i="6"/>
  <c r="N29" i="6"/>
  <c r="G29" i="6"/>
  <c r="C29" i="6"/>
  <c r="N28" i="6"/>
  <c r="G28" i="6"/>
  <c r="C28" i="6"/>
  <c r="H27" i="6"/>
  <c r="G27" i="6"/>
  <c r="C27" i="6"/>
  <c r="G26" i="6"/>
  <c r="C26" i="6"/>
  <c r="N25" i="6"/>
  <c r="K25" i="6"/>
  <c r="G25" i="6"/>
  <c r="E25" i="6"/>
  <c r="C25" i="6"/>
  <c r="G24" i="6"/>
  <c r="C24" i="6"/>
  <c r="N23" i="6"/>
  <c r="L23" i="6"/>
  <c r="L13" i="6" s="1"/>
  <c r="K23" i="6"/>
  <c r="G23" i="6"/>
  <c r="C23" i="6"/>
  <c r="K22" i="6"/>
  <c r="G22" i="6"/>
  <c r="C22" i="6"/>
  <c r="N21" i="6"/>
  <c r="G21" i="6"/>
  <c r="E21" i="6"/>
  <c r="C21" i="6"/>
  <c r="P20" i="6"/>
  <c r="N20" i="6"/>
  <c r="K20" i="6"/>
  <c r="G20" i="6"/>
  <c r="F20" i="6"/>
  <c r="F13" i="6" s="1"/>
  <c r="F11" i="6" s="1"/>
  <c r="E11" i="6" s="1"/>
  <c r="F10" i="6" s="1"/>
  <c r="E20" i="6"/>
  <c r="C20" i="6"/>
  <c r="K19" i="6"/>
  <c r="G19" i="6" s="1"/>
  <c r="C19" i="6"/>
  <c r="K18" i="6"/>
  <c r="G18" i="6"/>
  <c r="E18" i="6"/>
  <c r="C18" i="6"/>
  <c r="K17" i="6"/>
  <c r="G17" i="6"/>
  <c r="C17" i="6"/>
  <c r="K16" i="6"/>
  <c r="G16" i="6"/>
  <c r="E16" i="6"/>
  <c r="C16" i="6" s="1"/>
  <c r="K15" i="6"/>
  <c r="G15" i="6"/>
  <c r="C15" i="6"/>
  <c r="K14" i="6"/>
  <c r="K13" i="6" s="1"/>
  <c r="G14" i="6"/>
  <c r="C14" i="6"/>
  <c r="R13" i="6"/>
  <c r="Q13" i="6"/>
  <c r="P13" i="6"/>
  <c r="P11" i="6" s="1"/>
  <c r="O13" i="6"/>
  <c r="O11" i="6" s="1"/>
  <c r="N13" i="6"/>
  <c r="M13" i="6"/>
  <c r="J13" i="6"/>
  <c r="H12" i="6" s="1"/>
  <c r="I13" i="6"/>
  <c r="H13" i="6"/>
  <c r="G12" i="6" s="1"/>
  <c r="G10" i="6" s="1"/>
  <c r="D13" i="6"/>
  <c r="I12" i="6" s="1"/>
  <c r="P12" i="6"/>
  <c r="O12" i="6"/>
  <c r="F12" i="6"/>
  <c r="E12" i="6"/>
  <c r="G11" i="6"/>
  <c r="D11" i="6"/>
  <c r="E10" i="6"/>
  <c r="D68" i="5"/>
  <c r="C68" i="5"/>
  <c r="D67" i="5"/>
  <c r="C67" i="5"/>
  <c r="D66" i="5"/>
  <c r="D65" i="5"/>
  <c r="C65" i="5"/>
  <c r="D64" i="5"/>
  <c r="C64" i="5"/>
  <c r="D63" i="5"/>
  <c r="C63" i="5"/>
  <c r="D62" i="5"/>
  <c r="C62" i="5"/>
  <c r="D61" i="5"/>
  <c r="C61" i="5"/>
  <c r="D60" i="5"/>
  <c r="C60" i="5"/>
  <c r="D59" i="5"/>
  <c r="C59" i="5"/>
  <c r="D58" i="5"/>
  <c r="C58" i="5"/>
  <c r="D57" i="5"/>
  <c r="D56" i="5"/>
  <c r="C56" i="5"/>
  <c r="D55" i="5"/>
  <c r="C55" i="5"/>
  <c r="D54" i="5"/>
  <c r="C54" i="5"/>
  <c r="D53" i="5"/>
  <c r="D52" i="5"/>
  <c r="D51" i="5"/>
  <c r="C51" i="5"/>
  <c r="D50" i="5"/>
  <c r="C50" i="5"/>
  <c r="D49" i="5"/>
  <c r="C49" i="5"/>
  <c r="D48" i="5"/>
  <c r="C48" i="5"/>
  <c r="D47" i="5"/>
  <c r="C47" i="5"/>
  <c r="D46" i="5"/>
  <c r="D45" i="5"/>
  <c r="C45" i="5"/>
  <c r="D44" i="5"/>
  <c r="C44" i="5"/>
  <c r="D43" i="5"/>
  <c r="C43" i="5"/>
  <c r="D42" i="5"/>
  <c r="C42" i="5"/>
  <c r="D41" i="5"/>
  <c r="C41" i="5"/>
  <c r="D40" i="5"/>
  <c r="C40" i="5"/>
  <c r="D39" i="5"/>
  <c r="C39" i="5"/>
  <c r="D38" i="5"/>
  <c r="C38" i="5"/>
  <c r="D37" i="5"/>
  <c r="C37" i="5"/>
  <c r="D36" i="5"/>
  <c r="C36" i="5"/>
  <c r="D35" i="5"/>
  <c r="C35" i="5"/>
  <c r="D34" i="5"/>
  <c r="C34" i="5"/>
  <c r="D33" i="5"/>
  <c r="C33" i="5"/>
  <c r="D32" i="5"/>
  <c r="C32" i="5"/>
  <c r="D31" i="5"/>
  <c r="C31" i="5"/>
  <c r="D30" i="5"/>
  <c r="C30" i="5"/>
  <c r="D29" i="5"/>
  <c r="C29" i="5"/>
  <c r="D28" i="5"/>
  <c r="C28" i="5"/>
  <c r="D27" i="5"/>
  <c r="C27" i="5"/>
  <c r="D26" i="5"/>
  <c r="C26" i="5"/>
  <c r="D25" i="5"/>
  <c r="C25" i="5"/>
  <c r="D24" i="5"/>
  <c r="C24" i="5"/>
  <c r="D23" i="5"/>
  <c r="C23" i="5"/>
  <c r="D22" i="5"/>
  <c r="C22" i="5"/>
  <c r="D21" i="5"/>
  <c r="C21" i="5"/>
  <c r="D20" i="5"/>
  <c r="D19" i="5"/>
  <c r="C19" i="5"/>
  <c r="D18" i="5"/>
  <c r="C18" i="5"/>
  <c r="C8" i="5" s="1"/>
  <c r="D17" i="5"/>
  <c r="C17" i="5"/>
  <c r="D16" i="5"/>
  <c r="C16" i="5"/>
  <c r="D15" i="5"/>
  <c r="C15" i="5"/>
  <c r="D14" i="5"/>
  <c r="D13" i="5"/>
  <c r="C13" i="5"/>
  <c r="D12" i="5"/>
  <c r="C12" i="5"/>
  <c r="D11" i="5"/>
  <c r="D8" i="5" s="1"/>
  <c r="C11" i="5"/>
  <c r="D10" i="5"/>
  <c r="C10" i="5"/>
  <c r="D9" i="5"/>
  <c r="C9" i="5"/>
  <c r="T8" i="5"/>
  <c r="S8" i="5"/>
  <c r="R8" i="5"/>
  <c r="Q8" i="5"/>
  <c r="P8" i="5"/>
  <c r="O8" i="5"/>
  <c r="N8" i="5"/>
  <c r="M8" i="5"/>
  <c r="L8" i="5"/>
  <c r="K8" i="5"/>
  <c r="J8" i="5"/>
  <c r="I8" i="5"/>
  <c r="H8" i="5"/>
  <c r="G8" i="5"/>
  <c r="F8" i="5"/>
  <c r="E8" i="5"/>
  <c r="A3" i="3"/>
  <c r="A4" i="4" s="1"/>
  <c r="A3" i="7" s="1"/>
  <c r="A5" i="8" s="1"/>
  <c r="A4" i="9" s="1"/>
  <c r="A3" i="2"/>
  <c r="H11" i="8" l="1"/>
  <c r="F11" i="8"/>
  <c r="V12" i="7"/>
  <c r="V11" i="7" s="1"/>
  <c r="V10" i="7" s="1"/>
  <c r="AF13" i="7"/>
  <c r="Z12" i="7"/>
  <c r="Z11" i="7" s="1"/>
  <c r="Z10" i="7" s="1"/>
  <c r="AB12" i="7"/>
  <c r="AB11" i="7" s="1"/>
  <c r="AB10" i="7" s="1"/>
  <c r="V21" i="7"/>
  <c r="AC12" i="7"/>
  <c r="AA21" i="7"/>
  <c r="AF21" i="7" s="1"/>
  <c r="AF22" i="7"/>
  <c r="AF76" i="7"/>
  <c r="AF14" i="7"/>
  <c r="AF23" i="7"/>
  <c r="AF60" i="7"/>
  <c r="AA20" i="7"/>
  <c r="AF20" i="7" s="1"/>
  <c r="AF77" i="7"/>
  <c r="X57" i="7"/>
  <c r="AH57" i="7" s="1"/>
  <c r="AC15" i="7"/>
  <c r="AH15" i="7" s="1"/>
  <c r="X21" i="7"/>
  <c r="X12" i="7" s="1"/>
  <c r="X11" i="7" s="1"/>
  <c r="X10" i="7" s="1"/>
  <c r="B12" i="6"/>
  <c r="C13" i="6"/>
  <c r="G13" i="6"/>
  <c r="E13" i="6"/>
  <c r="D12" i="6"/>
  <c r="D10" i="6" s="1"/>
  <c r="R84" i="4"/>
  <c r="Q84" i="4"/>
  <c r="K84" i="4"/>
  <c r="I84" i="4"/>
  <c r="E84" i="4"/>
  <c r="C84" i="4"/>
  <c r="V83" i="4"/>
  <c r="N83" i="4"/>
  <c r="I83" i="4"/>
  <c r="F83" i="4"/>
  <c r="C83" i="4" s="1"/>
  <c r="T82" i="4"/>
  <c r="N82" i="4"/>
  <c r="I82" i="4"/>
  <c r="F82" i="4"/>
  <c r="C82" i="4"/>
  <c r="T81" i="4"/>
  <c r="N81" i="4"/>
  <c r="I81" i="4"/>
  <c r="F81" i="4"/>
  <c r="C81" i="4" s="1"/>
  <c r="V80" i="4"/>
  <c r="N80" i="4"/>
  <c r="I80" i="4"/>
  <c r="S80" i="4" s="1"/>
  <c r="F80" i="4"/>
  <c r="C80" i="4"/>
  <c r="V79" i="4"/>
  <c r="N79" i="4"/>
  <c r="I79" i="4"/>
  <c r="F79" i="4"/>
  <c r="C79" i="4" s="1"/>
  <c r="V78" i="4"/>
  <c r="N78" i="4"/>
  <c r="I78" i="4"/>
  <c r="F78" i="4"/>
  <c r="C78" i="4"/>
  <c r="V77" i="4"/>
  <c r="N77" i="4"/>
  <c r="I77" i="4"/>
  <c r="F77" i="4"/>
  <c r="C77" i="4" s="1"/>
  <c r="V76" i="4"/>
  <c r="N76" i="4"/>
  <c r="I76" i="4"/>
  <c r="F76" i="4"/>
  <c r="C76" i="4"/>
  <c r="V75" i="4"/>
  <c r="N75" i="4"/>
  <c r="I75" i="4"/>
  <c r="F75" i="4"/>
  <c r="C75" i="4" s="1"/>
  <c r="V74" i="4"/>
  <c r="N74" i="4"/>
  <c r="I74" i="4"/>
  <c r="F74" i="4"/>
  <c r="C74" i="4"/>
  <c r="V73" i="4"/>
  <c r="N73" i="4"/>
  <c r="I73" i="4"/>
  <c r="F73" i="4"/>
  <c r="C73" i="4" s="1"/>
  <c r="V72" i="4"/>
  <c r="N72" i="4"/>
  <c r="I72" i="4"/>
  <c r="S72" i="4" s="1"/>
  <c r="F72" i="4"/>
  <c r="C72" i="4"/>
  <c r="V71" i="4"/>
  <c r="N71" i="4"/>
  <c r="I71" i="4"/>
  <c r="F71" i="4"/>
  <c r="C71" i="4" s="1"/>
  <c r="V70" i="4"/>
  <c r="N70" i="4"/>
  <c r="I70" i="4"/>
  <c r="F70" i="4"/>
  <c r="C70" i="4"/>
  <c r="V69" i="4"/>
  <c r="N69" i="4"/>
  <c r="I69" i="4"/>
  <c r="F69" i="4"/>
  <c r="C69" i="4" s="1"/>
  <c r="V68" i="4"/>
  <c r="N68" i="4"/>
  <c r="I68" i="4"/>
  <c r="F68" i="4"/>
  <c r="C68" i="4"/>
  <c r="V67" i="4"/>
  <c r="N67" i="4"/>
  <c r="I67" i="4"/>
  <c r="F67" i="4"/>
  <c r="C67" i="4" s="1"/>
  <c r="V66" i="4"/>
  <c r="N66" i="4"/>
  <c r="I66" i="4"/>
  <c r="F66" i="4"/>
  <c r="C66" i="4"/>
  <c r="V65" i="4"/>
  <c r="N65" i="4"/>
  <c r="I65" i="4"/>
  <c r="F65" i="4"/>
  <c r="C65" i="4" s="1"/>
  <c r="V64" i="4"/>
  <c r="N64" i="4"/>
  <c r="I64" i="4"/>
  <c r="S64" i="4" s="1"/>
  <c r="F64" i="4"/>
  <c r="C64" i="4"/>
  <c r="V63" i="4"/>
  <c r="N63" i="4"/>
  <c r="I63" i="4"/>
  <c r="F63" i="4"/>
  <c r="C63" i="4" s="1"/>
  <c r="V62" i="4"/>
  <c r="N62" i="4"/>
  <c r="I62" i="4"/>
  <c r="F62" i="4"/>
  <c r="C62" i="4"/>
  <c r="T61" i="4"/>
  <c r="N61" i="4"/>
  <c r="I61" i="4"/>
  <c r="F61" i="4"/>
  <c r="C61" i="4" s="1"/>
  <c r="V60" i="4"/>
  <c r="N60" i="4"/>
  <c r="I60" i="4"/>
  <c r="F60" i="4"/>
  <c r="C60" i="4"/>
  <c r="V59" i="4"/>
  <c r="N59" i="4"/>
  <c r="I59" i="4"/>
  <c r="F59" i="4"/>
  <c r="C59" i="4" s="1"/>
  <c r="V58" i="4"/>
  <c r="N58" i="4"/>
  <c r="I58" i="4"/>
  <c r="F58" i="4"/>
  <c r="C58" i="4"/>
  <c r="V57" i="4"/>
  <c r="N57" i="4"/>
  <c r="I57" i="4"/>
  <c r="F57" i="4"/>
  <c r="C57" i="4" s="1"/>
  <c r="V56" i="4"/>
  <c r="N56" i="4"/>
  <c r="I56" i="4"/>
  <c r="S56" i="4" s="1"/>
  <c r="F56" i="4"/>
  <c r="C56" i="4"/>
  <c r="V55" i="4"/>
  <c r="N55" i="4"/>
  <c r="I55" i="4"/>
  <c r="F55" i="4"/>
  <c r="C55" i="4" s="1"/>
  <c r="V54" i="4"/>
  <c r="N54" i="4"/>
  <c r="I54" i="4"/>
  <c r="F54" i="4"/>
  <c r="C54" i="4"/>
  <c r="V53" i="4"/>
  <c r="N53" i="4"/>
  <c r="I53" i="4"/>
  <c r="F53" i="4"/>
  <c r="C53" i="4" s="1"/>
  <c r="V52" i="4"/>
  <c r="N52" i="4"/>
  <c r="I52" i="4"/>
  <c r="F52" i="4"/>
  <c r="C52" i="4"/>
  <c r="V51" i="4"/>
  <c r="N51" i="4"/>
  <c r="I51" i="4"/>
  <c r="F51" i="4"/>
  <c r="C51" i="4" s="1"/>
  <c r="V50" i="4"/>
  <c r="N50" i="4"/>
  <c r="I50" i="4"/>
  <c r="F50" i="4"/>
  <c r="C50" i="4"/>
  <c r="V49" i="4"/>
  <c r="N49" i="4"/>
  <c r="I49" i="4"/>
  <c r="F49" i="4"/>
  <c r="C49" i="4" s="1"/>
  <c r="V48" i="4"/>
  <c r="N48" i="4"/>
  <c r="I48" i="4"/>
  <c r="S48" i="4" s="1"/>
  <c r="F48" i="4"/>
  <c r="C48" i="4"/>
  <c r="V47" i="4"/>
  <c r="N47" i="4"/>
  <c r="I47" i="4"/>
  <c r="F47" i="4"/>
  <c r="C47" i="4" s="1"/>
  <c r="V46" i="4"/>
  <c r="N46" i="4"/>
  <c r="I46" i="4"/>
  <c r="F46" i="4"/>
  <c r="C46" i="4"/>
  <c r="V45" i="4"/>
  <c r="N45" i="4"/>
  <c r="I45" i="4"/>
  <c r="F45" i="4"/>
  <c r="C45" i="4" s="1"/>
  <c r="V44" i="4"/>
  <c r="N44" i="4"/>
  <c r="I44" i="4"/>
  <c r="F44" i="4"/>
  <c r="C44" i="4"/>
  <c r="V43" i="4"/>
  <c r="N43" i="4"/>
  <c r="I43" i="4"/>
  <c r="F43" i="4"/>
  <c r="C43" i="4" s="1"/>
  <c r="V42" i="4"/>
  <c r="N42" i="4"/>
  <c r="I42" i="4"/>
  <c r="F42" i="4"/>
  <c r="C42" i="4"/>
  <c r="V41" i="4"/>
  <c r="N41" i="4"/>
  <c r="I41" i="4"/>
  <c r="F41" i="4"/>
  <c r="C41" i="4" s="1"/>
  <c r="V40" i="4"/>
  <c r="N40" i="4"/>
  <c r="I40" i="4"/>
  <c r="S40" i="4" s="1"/>
  <c r="F40" i="4"/>
  <c r="C40" i="4"/>
  <c r="V39" i="4"/>
  <c r="N39" i="4"/>
  <c r="I39" i="4"/>
  <c r="F39" i="4"/>
  <c r="C39" i="4" s="1"/>
  <c r="V38" i="4"/>
  <c r="N38" i="4"/>
  <c r="I38" i="4"/>
  <c r="F38" i="4"/>
  <c r="C38" i="4"/>
  <c r="V37" i="4"/>
  <c r="N37" i="4"/>
  <c r="I37" i="4"/>
  <c r="F37" i="4"/>
  <c r="C37" i="4" s="1"/>
  <c r="V36" i="4"/>
  <c r="N36" i="4"/>
  <c r="I36" i="4"/>
  <c r="F36" i="4"/>
  <c r="C36" i="4"/>
  <c r="V35" i="4"/>
  <c r="N35" i="4"/>
  <c r="I35" i="4"/>
  <c r="F35" i="4"/>
  <c r="C35" i="4" s="1"/>
  <c r="V34" i="4"/>
  <c r="N34" i="4"/>
  <c r="I34" i="4"/>
  <c r="F34" i="4"/>
  <c r="C34" i="4"/>
  <c r="V33" i="4"/>
  <c r="N33" i="4"/>
  <c r="I33" i="4"/>
  <c r="F33" i="4"/>
  <c r="C33" i="4" s="1"/>
  <c r="V32" i="4"/>
  <c r="N32" i="4"/>
  <c r="I32" i="4"/>
  <c r="S32" i="4" s="1"/>
  <c r="F32" i="4"/>
  <c r="C32" i="4"/>
  <c r="V31" i="4"/>
  <c r="N31" i="4"/>
  <c r="I31" i="4"/>
  <c r="F31" i="4"/>
  <c r="C31" i="4" s="1"/>
  <c r="V30" i="4"/>
  <c r="N30" i="4"/>
  <c r="I30" i="4"/>
  <c r="F30" i="4"/>
  <c r="C30" i="4"/>
  <c r="T29" i="4"/>
  <c r="N29" i="4"/>
  <c r="I29" i="4"/>
  <c r="F29" i="4"/>
  <c r="C29" i="4" s="1"/>
  <c r="V28" i="4"/>
  <c r="N28" i="4"/>
  <c r="I28" i="4"/>
  <c r="F28" i="4"/>
  <c r="C28" i="4"/>
  <c r="V27" i="4"/>
  <c r="N27" i="4"/>
  <c r="I27" i="4"/>
  <c r="F27" i="4"/>
  <c r="C27" i="4" s="1"/>
  <c r="V26" i="4"/>
  <c r="N26" i="4"/>
  <c r="I26" i="4"/>
  <c r="F26" i="4"/>
  <c r="C26" i="4"/>
  <c r="T25" i="4"/>
  <c r="N25" i="4"/>
  <c r="I25" i="4"/>
  <c r="F25" i="4"/>
  <c r="C25" i="4" s="1"/>
  <c r="T24" i="4"/>
  <c r="N24" i="4"/>
  <c r="I24" i="4"/>
  <c r="S24" i="4" s="1"/>
  <c r="F24" i="4"/>
  <c r="C24" i="4"/>
  <c r="W23" i="4"/>
  <c r="N23" i="4"/>
  <c r="I23" i="4" s="1"/>
  <c r="F23" i="4"/>
  <c r="E23" i="4"/>
  <c r="U23" i="4" s="1"/>
  <c r="C23" i="4"/>
  <c r="U22" i="4"/>
  <c r="N22" i="4"/>
  <c r="I22" i="4"/>
  <c r="F22" i="4"/>
  <c r="C22" i="4" s="1"/>
  <c r="W21" i="4"/>
  <c r="U21" i="4"/>
  <c r="N21" i="4"/>
  <c r="I21" i="4"/>
  <c r="F21" i="4"/>
  <c r="C21" i="4"/>
  <c r="U20" i="4"/>
  <c r="N20" i="4"/>
  <c r="I20" i="4"/>
  <c r="F20" i="4"/>
  <c r="C20" i="4"/>
  <c r="W19" i="4"/>
  <c r="N19" i="4"/>
  <c r="I19" i="4"/>
  <c r="F19" i="4"/>
  <c r="E19" i="4"/>
  <c r="U19" i="4" s="1"/>
  <c r="C19" i="4"/>
  <c r="P18" i="4"/>
  <c r="N18" i="4"/>
  <c r="I18" i="4" s="1"/>
  <c r="H18" i="4"/>
  <c r="H11" i="4" s="1"/>
  <c r="F18" i="4"/>
  <c r="E18" i="4"/>
  <c r="C18" i="4" s="1"/>
  <c r="U17" i="4"/>
  <c r="N17" i="4"/>
  <c r="I17" i="4"/>
  <c r="F17" i="4"/>
  <c r="C17" i="4"/>
  <c r="N16" i="4"/>
  <c r="I16" i="4"/>
  <c r="F16" i="4"/>
  <c r="E16" i="4"/>
  <c r="U16" i="4" s="1"/>
  <c r="C16" i="4"/>
  <c r="U15" i="4"/>
  <c r="N15" i="4"/>
  <c r="I15" i="4"/>
  <c r="F15" i="4"/>
  <c r="C15" i="4" s="1"/>
  <c r="N14" i="4"/>
  <c r="I14" i="4"/>
  <c r="F14" i="4"/>
  <c r="E14" i="4"/>
  <c r="U14" i="4" s="1"/>
  <c r="C14" i="4"/>
  <c r="U13" i="4"/>
  <c r="N13" i="4"/>
  <c r="N11" i="4" s="1"/>
  <c r="F13" i="4"/>
  <c r="C13" i="4"/>
  <c r="U12" i="4"/>
  <c r="N12" i="4"/>
  <c r="I12" i="4"/>
  <c r="F12" i="4"/>
  <c r="C12" i="4"/>
  <c r="R11" i="4"/>
  <c r="Q11" i="4"/>
  <c r="O11" i="4"/>
  <c r="V11" i="4" s="1"/>
  <c r="M11" i="4"/>
  <c r="L11" i="4"/>
  <c r="J11" i="4"/>
  <c r="G11" i="4"/>
  <c r="D11" i="4"/>
  <c r="D10" i="4"/>
  <c r="D33" i="3"/>
  <c r="C33" i="3"/>
  <c r="C32" i="3"/>
  <c r="E32" i="3" s="1"/>
  <c r="C31" i="3"/>
  <c r="E31" i="3" s="1"/>
  <c r="D30" i="3"/>
  <c r="E30" i="3" s="1"/>
  <c r="C30" i="3"/>
  <c r="E29" i="3"/>
  <c r="H28" i="3"/>
  <c r="D27" i="3"/>
  <c r="E27" i="3" s="1"/>
  <c r="C27" i="3"/>
  <c r="G26" i="3"/>
  <c r="F26" i="3"/>
  <c r="E26" i="3"/>
  <c r="G25" i="3"/>
  <c r="C25" i="3"/>
  <c r="E25" i="3" s="1"/>
  <c r="D24" i="3"/>
  <c r="C16" i="3"/>
  <c r="E16" i="3" s="1"/>
  <c r="E14" i="3"/>
  <c r="C13" i="3"/>
  <c r="C10" i="3" s="1"/>
  <c r="D12" i="3"/>
  <c r="D10" i="3" s="1"/>
  <c r="H55" i="2"/>
  <c r="G55" i="2"/>
  <c r="H54" i="2"/>
  <c r="G54" i="2"/>
  <c r="H53" i="2"/>
  <c r="G53" i="2"/>
  <c r="F37" i="2"/>
  <c r="E37" i="2"/>
  <c r="G37" i="2" s="1"/>
  <c r="C37" i="2"/>
  <c r="G33" i="2"/>
  <c r="G31" i="2"/>
  <c r="G29" i="2"/>
  <c r="G26" i="2"/>
  <c r="F25" i="2"/>
  <c r="E25" i="2"/>
  <c r="G25" i="2" s="1"/>
  <c r="D25" i="2"/>
  <c r="C25" i="2"/>
  <c r="C24" i="2"/>
  <c r="G24" i="2" s="1"/>
  <c r="G20" i="2"/>
  <c r="G19" i="2"/>
  <c r="G18" i="2"/>
  <c r="E17" i="2"/>
  <c r="G17" i="2" s="1"/>
  <c r="F16" i="2"/>
  <c r="E16" i="2"/>
  <c r="G16" i="2" s="1"/>
  <c r="D16" i="2"/>
  <c r="C16" i="2"/>
  <c r="F12" i="2"/>
  <c r="F11" i="2" s="1"/>
  <c r="F10" i="2" s="1"/>
  <c r="F9" i="2" s="1"/>
  <c r="E12" i="2"/>
  <c r="E11" i="2" s="1"/>
  <c r="D12" i="2"/>
  <c r="D11" i="2" s="1"/>
  <c r="D10" i="2" s="1"/>
  <c r="D9" i="2" s="1"/>
  <c r="C12" i="2"/>
  <c r="C11" i="2" s="1"/>
  <c r="C10" i="2" s="1"/>
  <c r="C9" i="2" s="1"/>
  <c r="E32" i="1"/>
  <c r="D32" i="1"/>
  <c r="F30" i="1"/>
  <c r="F29" i="1"/>
  <c r="F28" i="1"/>
  <c r="E28" i="1"/>
  <c r="E27" i="1" s="1"/>
  <c r="D28" i="1"/>
  <c r="C28" i="1"/>
  <c r="D27" i="1"/>
  <c r="F27" i="1" s="1"/>
  <c r="C27" i="1"/>
  <c r="C19" i="1" s="1"/>
  <c r="F22" i="1"/>
  <c r="E22" i="1"/>
  <c r="D22" i="1"/>
  <c r="C22" i="1"/>
  <c r="F21" i="1"/>
  <c r="E21" i="1"/>
  <c r="E20" i="1" s="1"/>
  <c r="D20" i="1"/>
  <c r="F20" i="1" s="1"/>
  <c r="C20" i="1"/>
  <c r="D19" i="1"/>
  <c r="F18" i="1"/>
  <c r="E18" i="1"/>
  <c r="F17" i="1"/>
  <c r="E17" i="1"/>
  <c r="F15" i="1"/>
  <c r="E15" i="1"/>
  <c r="F14" i="1"/>
  <c r="E14" i="1"/>
  <c r="E13" i="1"/>
  <c r="D13" i="1"/>
  <c r="F13" i="1" s="1"/>
  <c r="C13" i="1"/>
  <c r="D12" i="1"/>
  <c r="E12" i="1" s="1"/>
  <c r="E10" i="1" s="1"/>
  <c r="E9" i="1" s="1"/>
  <c r="E11" i="1"/>
  <c r="C10" i="1"/>
  <c r="C9" i="1"/>
  <c r="S22" i="4" l="1"/>
  <c r="S30" i="4"/>
  <c r="S38" i="4"/>
  <c r="S46" i="4"/>
  <c r="S62" i="4"/>
  <c r="S78" i="4"/>
  <c r="W18" i="4"/>
  <c r="S20" i="4"/>
  <c r="S16" i="4"/>
  <c r="S54" i="4"/>
  <c r="S70" i="4"/>
  <c r="F11" i="4"/>
  <c r="S14" i="4"/>
  <c r="U18" i="4"/>
  <c r="S12" i="4"/>
  <c r="S28" i="4"/>
  <c r="S36" i="4"/>
  <c r="S44" i="4"/>
  <c r="S52" i="4"/>
  <c r="S60" i="4"/>
  <c r="S68" i="4"/>
  <c r="S76" i="4"/>
  <c r="S84" i="4"/>
  <c r="S21" i="4"/>
  <c r="S23" i="4"/>
  <c r="U84" i="4"/>
  <c r="T11" i="4"/>
  <c r="S17" i="4"/>
  <c r="K11" i="4"/>
  <c r="S15" i="4"/>
  <c r="S19" i="4"/>
  <c r="S26" i="4"/>
  <c r="S34" i="4"/>
  <c r="S42" i="4"/>
  <c r="S50" i="4"/>
  <c r="S58" i="4"/>
  <c r="S66" i="4"/>
  <c r="S74" i="4"/>
  <c r="S82" i="4"/>
  <c r="S29" i="4"/>
  <c r="S37" i="4"/>
  <c r="S45" i="4"/>
  <c r="S53" i="4"/>
  <c r="S61" i="4"/>
  <c r="S69" i="4"/>
  <c r="S77" i="4"/>
  <c r="I13" i="4"/>
  <c r="S13" i="4" s="1"/>
  <c r="AH21" i="7"/>
  <c r="AC11" i="7"/>
  <c r="AH12" i="7"/>
  <c r="AA15" i="7"/>
  <c r="S27" i="4"/>
  <c r="S35" i="4"/>
  <c r="S43" i="4"/>
  <c r="S51" i="4"/>
  <c r="S59" i="4"/>
  <c r="S67" i="4"/>
  <c r="S75" i="4"/>
  <c r="S83" i="4"/>
  <c r="S18" i="4"/>
  <c r="C11" i="4"/>
  <c r="S25" i="4"/>
  <c r="S33" i="4"/>
  <c r="S41" i="4"/>
  <c r="S49" i="4"/>
  <c r="S57" i="4"/>
  <c r="S65" i="4"/>
  <c r="S73" i="4"/>
  <c r="S81" i="4"/>
  <c r="S31" i="4"/>
  <c r="S39" i="4"/>
  <c r="S47" i="4"/>
  <c r="S55" i="4"/>
  <c r="S63" i="4"/>
  <c r="S71" i="4"/>
  <c r="S79" i="4"/>
  <c r="X11" i="4"/>
  <c r="P11" i="4"/>
  <c r="W11" i="4" s="1"/>
  <c r="E11" i="4"/>
  <c r="U11" i="4" s="1"/>
  <c r="E10" i="3"/>
  <c r="D9" i="3"/>
  <c r="C9" i="3"/>
  <c r="C8" i="3" s="1"/>
  <c r="F25" i="3"/>
  <c r="F27" i="3" s="1"/>
  <c r="E12" i="3"/>
  <c r="E13" i="3"/>
  <c r="D23" i="3"/>
  <c r="C24" i="3"/>
  <c r="G11" i="2"/>
  <c r="E10" i="2"/>
  <c r="H9" i="2"/>
  <c r="F19" i="1"/>
  <c r="E19" i="1"/>
  <c r="D10" i="1"/>
  <c r="D9" i="1" s="1"/>
  <c r="I11" i="4" l="1"/>
  <c r="AF15" i="7"/>
  <c r="AA12" i="7"/>
  <c r="AC10" i="7"/>
  <c r="AH10" i="7" s="1"/>
  <c r="AH11" i="7"/>
  <c r="S11" i="4"/>
  <c r="X13" i="4"/>
  <c r="E24" i="3"/>
  <c r="C23" i="3"/>
  <c r="E23" i="3" s="1"/>
  <c r="C7" i="3"/>
  <c r="F9" i="3"/>
  <c r="D8" i="3"/>
  <c r="E9" i="3"/>
  <c r="H25" i="3"/>
  <c r="E9" i="2"/>
  <c r="G9" i="2" s="1"/>
  <c r="G10" i="2"/>
  <c r="F9" i="1"/>
  <c r="D42" i="1"/>
  <c r="AA11" i="7" l="1"/>
  <c r="AF12" i="7"/>
  <c r="E8" i="3"/>
  <c r="D7" i="3"/>
  <c r="E7" i="3" s="1"/>
  <c r="AA10" i="7" l="1"/>
  <c r="AF10" i="7" s="1"/>
  <c r="AF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M16" authorId="0" shapeId="0" xr:uid="{90F0C226-725A-4CDF-969E-3493F956902E}">
      <text>
        <r>
          <rPr>
            <b/>
            <sz val="9"/>
            <color indexed="81"/>
            <rFont val="Tahoma"/>
            <family val="2"/>
          </rPr>
          <t>Admin:</t>
        </r>
        <r>
          <rPr>
            <sz val="9"/>
            <color indexed="81"/>
            <rFont val="Tahoma"/>
            <family val="2"/>
          </rPr>
          <t xml:space="preserve">
- không khớp nhau 32.023.782 đồng</t>
        </r>
      </text>
    </comment>
  </commentList>
</comments>
</file>

<file path=xl/sharedStrings.xml><?xml version="1.0" encoding="utf-8"?>
<sst xmlns="http://schemas.openxmlformats.org/spreadsheetml/2006/main" count="955" uniqueCount="453">
  <si>
    <t>QUYẾT TOÁN CÂN ĐỐI NGÂN SÁCH ĐỊA PHƯƠNG XÃ THANH THỊNH NĂM 2025</t>
  </si>
  <si>
    <t>(Dùng cho ngân sách các cấp chính quyền địa phương)</t>
  </si>
  <si>
    <t>Đơn vị: Nghìn đồng</t>
  </si>
  <si>
    <t>STT</t>
  </si>
  <si>
    <t>Nội dung (1)</t>
  </si>
  <si>
    <t>Dự toán</t>
  </si>
  <si>
    <t>Quyết toán</t>
  </si>
  <si>
    <t>So sánh</t>
  </si>
  <si>
    <t>Tuyệt đối</t>
  </si>
  <si>
    <t>Tương đối (%)</t>
  </si>
  <si>
    <t>A</t>
  </si>
  <si>
    <t>B</t>
  </si>
  <si>
    <t>3=2-1</t>
  </si>
  <si>
    <t>4=2/1</t>
  </si>
  <si>
    <t>TỔNG NGUỒN THU NSĐP</t>
  </si>
  <si>
    <t>I</t>
  </si>
  <si>
    <t>Thu NSĐP được hưởng theo phân cấp</t>
  </si>
  <si>
    <t>-</t>
  </si>
  <si>
    <t>Thu NSĐP hưởng 100%</t>
  </si>
  <si>
    <t>Thu NSĐP hưởng từ các khoản thu phân chia</t>
  </si>
  <si>
    <t>II</t>
  </si>
  <si>
    <t xml:space="preserve">Thu bổ sung từ ngân sách cấp trên </t>
  </si>
  <si>
    <t>Thu bổ sung cân đối ngân sách</t>
  </si>
  <si>
    <t>Thu bổ sung có mục tiêu</t>
  </si>
  <si>
    <t>III</t>
  </si>
  <si>
    <t>Thu từ quỹ dự trữ tài chính</t>
  </si>
  <si>
    <t>IV</t>
  </si>
  <si>
    <t>Thu kết dư</t>
  </si>
  <si>
    <t>V</t>
  </si>
  <si>
    <t>Thu chuyển nguồn từ năm trước chuyển sang</t>
  </si>
  <si>
    <t>TỔNG CHI NSĐP</t>
  </si>
  <si>
    <t xml:space="preserve">Tổng chi cân đối NSĐP </t>
  </si>
  <si>
    <t>Chi đầu tư phát triển</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</si>
  <si>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</si>
  <si>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</si>
  <si>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</si>
  <si>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</si>
  <si>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</si>
  <si>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t>
  </si>
  <si>
    <t>Chi các chương trình mục tiêu quốc gia</t>
  </si>
  <si>
    <t>+ Xây dựng cơ bản chương trình MTQG</t>
  </si>
  <si>
    <t>+ Vốn sự nghiệp chương trình MTQG</t>
  </si>
  <si>
    <t>Chi các chương trình mục tiêu, nhiệm vụ</t>
  </si>
  <si>
    <t>Chi chuyển nguồn sang năm sau</t>
  </si>
  <si>
    <t>Chi nộp ngân sách cấp trên</t>
  </si>
  <si>
    <t>C</t>
  </si>
  <si>
    <t>BỘI CHI NSĐP/BỘI THU NSĐP/KẾT DƯ NSĐP</t>
  </si>
  <si>
    <t>D</t>
  </si>
  <si>
    <t>CHI TRẢ NỢ GỐC CỦA NSĐP</t>
  </si>
  <si>
    <t>Từ nguồn vay để trả nợ gốc</t>
  </si>
  <si>
    <t>Từ nguồn bội thu, tăng thu, tiết kiệm chi, kết dư ngân sách cấp tỉnh</t>
  </si>
  <si>
    <t>E</t>
  </si>
  <si>
    <t>TỔNG MỨC VAY CỦA NSĐP</t>
  </si>
  <si>
    <t>Vay để bù đắp bội chi</t>
  </si>
  <si>
    <t>Vay để trả nợ gốc</t>
  </si>
  <si>
    <t>G</t>
  </si>
  <si>
    <t>TỔNG MỨC DƯ NỢ VAY CUỐI NĂM CỦA NSĐP</t>
  </si>
  <si>
    <t>H</t>
  </si>
  <si>
    <t>KẾT DƯ NGÂN SÁCH ĐỊA PHƯƠNG</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</si>
  <si>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trả lãi vay, chi bổ sung quỹ dự trữ tài chính, bội chi NSĐP, vay và trả nợ gốc vay.</t>
    </r>
  </si>
  <si>
    <t>QUYẾT TOÁN NGUỒN THU NGÂN SÁCH NHÀ NƯỚC TRÊN ĐỊA BÀN THEO LĨNH VỰC NĂM 2025</t>
  </si>
  <si>
    <t>Nội dung</t>
  </si>
  <si>
    <t>So sánh (%)</t>
  </si>
  <si>
    <t>Tổng thu NSNN</t>
  </si>
  <si>
    <t>Thu NSĐP</t>
  </si>
  <si>
    <t>5=3/1</t>
  </si>
  <si>
    <t>6=4/2</t>
  </si>
  <si>
    <t>TỔNG NGUỒN THU NSNN (A+B+C+D)</t>
  </si>
  <si>
    <t>TỔNG THU CÂN ĐỐI NSNN</t>
  </si>
  <si>
    <t>Thu nội địa</t>
  </si>
  <si>
    <t>Thu từ khu vực DNNN do trung ương quản lý (1)</t>
  </si>
  <si>
    <t>- Thuế giá trị gia tăng</t>
  </si>
  <si>
    <t>Thu từ khu vực DNNN do địa phương quản lý (2)</t>
  </si>
  <si>
    <t>Thu từ khu vực doanh nghiệp có vốn đầu tư nước ngoài (3)</t>
  </si>
  <si>
    <t>Thu từ khu vực kinh tế ngoài quốc doanh (4)</t>
  </si>
  <si>
    <t>- Thuế tiêu thụ đặc biệt</t>
  </si>
  <si>
    <t>- Thuế tài nguyên</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</si>
  <si>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</si>
  <si>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</si>
  <si>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</si>
  <si>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</si>
  <si>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</si>
  <si>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</si>
  <si>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Phí và lệ phí trung ương</t>
  </si>
  <si>
    <t>Phí và lệ phí tỉnh</t>
  </si>
  <si>
    <t>Phí và lệ phí huyện</t>
  </si>
  <si>
    <t>Phí và lệ phí xã, phường</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</si>
  <si>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</si>
  <si>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</si>
  <si>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</si>
  <si>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</si>
  <si>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</si>
  <si>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</si>
  <si>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</si>
  <si>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</si>
  <si>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</si>
  <si>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(5)</t>
  </si>
  <si>
    <t>Lợi nhuận được chia của Nhà nước và lợi nhuận sau thuế còn lại sau khi trích lập các quỹ của doanh nghiệp nhà nước (5)</t>
  </si>
  <si>
    <t>Chênh lệch thu chi Ngân hàng Nhà nước (5)</t>
  </si>
  <si>
    <t>Thu từ dầu thô</t>
  </si>
  <si>
    <t xml:space="preserve">Thu từ hoạt động xuất nhập khẩu </t>
  </si>
  <si>
    <t>Thuế xuất khẩu</t>
  </si>
  <si>
    <t>Thuế nhập khẩu</t>
  </si>
  <si>
    <t>Thuế tiêu thụ đặc biệt thu từ hàng hóa nhập khẩu</t>
  </si>
  <si>
    <t>Thuế bảo vệ môi trường thu từ hàng hóa nhập khẩu</t>
  </si>
  <si>
    <t>Thuế giá trị gia tăng thu từ hàng hóa nhập khẩu</t>
  </si>
  <si>
    <t>Thu khác</t>
  </si>
  <si>
    <t>Thu viện trợ</t>
  </si>
  <si>
    <t>Các khoản huy động, đóng góp</t>
  </si>
  <si>
    <t>THU TỪ QUỸ DỰ TRỮ TÀI CHÍNH</t>
  </si>
  <si>
    <t>THU BỔ SUNG NGÂN SÁCH CẤP TRÊN</t>
  </si>
  <si>
    <t>THU KẾT DƯ NĂM TRƯỚC</t>
  </si>
  <si>
    <t>THU CHUYỂN NGUỒN TỪ NĂM TRƯỚC CHUYỂN SANG</t>
  </si>
  <si>
    <t>Ghi chú:</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</si>
  <si>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</si>
  <si>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</si>
  <si>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</si>
  <si>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</si>
  <si>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</si>
  <si>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QUYẾT TOÁN CHI NGÂN SÁCH ĐỊA PHƯƠNG THEO LĨNH VỰC NĂM 2025</t>
  </si>
  <si>
    <t>3=2/1</t>
  </si>
  <si>
    <t>TỔNG CHI NGÂN SÁCH ĐỊA PHƯƠNG</t>
  </si>
  <si>
    <t>CHI CÂN ĐỐI NGÂN SÁCH ĐỊA PHƯƠNG</t>
  </si>
  <si>
    <t xml:space="preserve">Chi đầu tư cho các dự án </t>
  </si>
  <si>
    <t>Trong đó: Chia theo lĩnh vực</t>
  </si>
  <si>
    <t>Chi giáo dục - đào tạo và dạy nghề</t>
  </si>
  <si>
    <t>Chi hoạt động kinh tế</t>
  </si>
  <si>
    <t>Trong đó:</t>
  </si>
  <si>
    <t>Chi khoa học và công nghệ</t>
  </si>
  <si>
    <t>VI</t>
  </si>
  <si>
    <t>CHI CÁC CHƯƠNG TRÌNH MỤC TIÊU</t>
  </si>
  <si>
    <t>Chương trình nông thôn mới</t>
  </si>
  <si>
    <t>+ Xây dựng cơ bản</t>
  </si>
  <si>
    <t>+ Thường xuyên</t>
  </si>
  <si>
    <t>Chương trình giản nghèo bền vững</t>
  </si>
  <si>
    <t>Chương trình phát triển vùng DTTS</t>
  </si>
  <si>
    <t>Chi các chương trình mục tiêu, nhiệm vu</t>
  </si>
  <si>
    <t>CHI CHUYỂN NGUỒN SANG NĂM SAU</t>
  </si>
  <si>
    <t>CHI BỔ SUNG CHO NGÂN SÁCH CẤP DƯỚI</t>
  </si>
  <si>
    <t>CHI NỘP TRẢ NGÂN SÁCH CẤP TRÊN</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</si>
  <si>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chi trả lãi vay, chi bổ sung quỹ dự trữ tài chính.</t>
    </r>
  </si>
  <si>
    <t>Biểu mẫu số 54</t>
  </si>
  <si>
    <t>QUYẾT TOÁN CHI NGÂN SÁCH CẤP TỈNH (HUYỆN, XÃ) CHO TỪNG CƠ QUAN, TỔ CHỨC THEO LĨNH VỰC NĂM 2025</t>
  </si>
  <si>
    <t>Tên đơn vị</t>
  </si>
  <si>
    <t>Dự toán (1)</t>
  </si>
  <si>
    <t>Tổng số</t>
  </si>
  <si>
    <r>
      <t xml:space="preserve">Chi đầu tư phát triển </t>
    </r>
    <r>
      <rPr>
        <sz val="10"/>
        <rFont val="Times New Roman"/>
        <family val="1"/>
      </rPr>
      <t>(Không kể chương trình MTQG)</t>
    </r>
  </si>
  <si>
    <r>
      <t>Chi thường xuyên (</t>
    </r>
    <r>
      <rPr>
        <sz val="10"/>
        <rFont val="Times New Roman"/>
        <family val="1"/>
      </rPr>
      <t>không kể CTMTQG)</t>
    </r>
  </si>
  <si>
    <t>Chi chương trình mục tiêu</t>
  </si>
  <si>
    <r>
      <t xml:space="preserve">Chi thường xuyên </t>
    </r>
    <r>
      <rPr>
        <sz val="10"/>
        <rFont val="Times New Roman"/>
        <family val="1"/>
      </rPr>
      <t>(Không kể chương trình MTQG)</t>
    </r>
  </si>
  <si>
    <t>Chi trả nợ lãi do chính quyền địa phương vay (2)</t>
  </si>
  <si>
    <t>Chi bổ sung quỹ dự trữ tài chính (2)</t>
  </si>
  <si>
    <t>Chi chương trình MTQG</t>
  </si>
  <si>
    <t>Chi chuyển nguồn sang ngân sách năm sau</t>
  </si>
  <si>
    <t>Chi nộp trả ngân sách cấp trên</t>
  </si>
  <si>
    <t>Chi đầu tư</t>
  </si>
  <si>
    <t>TỔNG SỐ</t>
  </si>
  <si>
    <t>1094986 - Trường tiểu học Nông Hạ</t>
  </si>
  <si>
    <t>1094992 - Trường Tiểu học và THCS Thanh Bình</t>
  </si>
  <si>
    <t>1103245 - Trường Mầm non Nông Hạ</t>
  </si>
  <si>
    <t>1103260 - Trường Trung học cơ sở Nông Hạ</t>
  </si>
  <si>
    <t>1124106 - Trường Phổ thông dân tộc nội trú THCS Chợ Mới</t>
  </si>
  <si>
    <t>1130529 - Trường Mầm non Thanh Thịnh</t>
  </si>
  <si>
    <t>1149951 - Uỷ ban Mặt trận Tổ quốc Việt Nam xã Thanh Thịnh</t>
  </si>
  <si>
    <t>1151045 - Phòng Kinh tế xã Thanh Thịnh</t>
  </si>
  <si>
    <t>1151046 - Văn phòng Đảng ủy xã Thanh Thịnh</t>
  </si>
  <si>
    <t>1152357 - Phòng Văn hóa-Xã hội xã Thanh Thịnh</t>
  </si>
  <si>
    <t>1157332 - Trung tâm Phục vụ hành chính công xã Thanh Thinh</t>
  </si>
  <si>
    <t>1157333 - Văn phòng Hội đồng nhân dân và Ủy ban nhân dân xã Thanh Thịnh</t>
  </si>
  <si>
    <t>7921193 - Kè chống sạt lở cho cánh đồng Nà Cù-Ná Bia, xã Nông Hạ, huyện Chợ Mới</t>
  </si>
  <si>
    <t>7921216 - Trường mầm non Nông Hạ, huyện Chợ Mới, tỉnh Bắc Kạn</t>
  </si>
  <si>
    <t>7987671 - Kiên cố hóa kênh mương+phai Khuổi Nhao, thôn Reo Dài</t>
  </si>
  <si>
    <t>7998908 - Công trình: Nâng cấp nhà văn hóa thôn Bản Còn (hạng mục: Đổ bê tông sân hội trường và các hạng mục khác hội trường thôn) xã Thanh Thịnh, huyện Chợ Mới, tỉnh Bắc Kạn</t>
  </si>
  <si>
    <t>8017975 - Mở mới đường nội đồng từ cửa Khe Pục đến cầu Treo thôn Reo Dài</t>
  </si>
  <si>
    <t>8037905 - Lập quy hoạch chung xây dựng xã Nông Hạ, huyện Chợ Mới, tỉnh Bắc Kạn giai đoạn 2021-2030</t>
  </si>
  <si>
    <t>8039896 - Đổ bê tông kênh mương thôn Cạm Lẹng (Đoạn nối tiếp) xã Thanh Thịnh, huyện Chợ Mới, tỉnh Bắc Kạn</t>
  </si>
  <si>
    <t>8040247 - Giải quyết tình trạng thiếu đất ở, nhà ở, đất sản xuất, nước sinh hoạt CT MTQG phát triển KT - XH  vùng ĐB DTTS &amp; MN giai đoạn 2021 - 2025</t>
  </si>
  <si>
    <t>8043047 - Đổ bê tông kênh mương Pai Lùng, thôn Nà Ngài, xã Thanh Thịnh, huyện Chợ Mới, tỉnh Bắc Kạn</t>
  </si>
  <si>
    <t>8043077 - Đổ bê tông kênh mương Nà Lốc, thôn Nà Ngài, xã Thanh Thịnh, huyện Chợ Mới, tỉnh Bắc Kạn</t>
  </si>
  <si>
    <t>8043128 - Đổ bê tông kênh mương Nà Viều, thôn Nà Ngài, xã Thanh Thịnh, huyện Chợ Mới, tỉnh Bắc Kạn</t>
  </si>
  <si>
    <t>8049700 - Xây dựng nhà văn hoá thôn thôn Xí Nghiệp, Bản Tết 2 ( gộp thôn)</t>
  </si>
  <si>
    <t>8052025 - Đổ bê tông đường xuống cánh đồng Nà Làng, Bản Tết 2</t>
  </si>
  <si>
    <t>8052296 - Xây dựng nhà văn hoá thôn thôn Nà Bản, Nà Mẩy ( gộp thôn)</t>
  </si>
  <si>
    <t>8053623 - Đổ bê tông đường lên khu dân cư Thẩm Ca thôn Nà Quang ( đoạn nối tiếp )</t>
  </si>
  <si>
    <t>8060241 - KCH kênh mương Tồng Mạt thôn Bản Tết 1</t>
  </si>
  <si>
    <t>8078888 - Đổ bê tông đường ngõ từ nhà Bà Hây đến nhà ông Báu thôn Bản Tết 2, xã Nông Hạ, huyện Chợ Mới, tỉnh Bắc Kạn</t>
  </si>
  <si>
    <t>8078889 - Đổ bê tông đường nối tiếp đoạn từ hội trường thôn Khe Thỉ 2, xã Nông Hạ, huyện Chợ Mới, tỉnh Bắc Kạn</t>
  </si>
  <si>
    <t>8078890 - Đổ bê tông đường từ lán ông Hà Văn Sơn đến bãi bắn thao trường Khuổi Chú thôn Cao Thanh, xã Nông Hạ, huyện Chợ Mới, tỉnh Bắc Kạn</t>
  </si>
  <si>
    <t>8078941 - Đổ bê tông đường xuống cánh đồng Nà Làng, Bản Tết 2 ( đoạn nối tiếp )</t>
  </si>
  <si>
    <t>8078942 - Đổ bê tông đường Nông Hạ - Yên Hân đến nhà ông Xô, thôn Khe Thuổng, huyện Chợ Mới, tỉnh Bắc Kạn</t>
  </si>
  <si>
    <t>8078943 - Đổ bê tông đường phía đông sông cầu đoạn qua thôn Nà Cù, xã Nông Hạ, huyện Chợ Mới, tỉnh Bắc Kạn</t>
  </si>
  <si>
    <t>8078979 - Đổ bê tông đường Vào khu sản xuất Khe Lóng, thôn Khe Thỉ I, xã Nông Hạ, huyện Chợ Mới, tỉnh Bắc Kạn</t>
  </si>
  <si>
    <t>8078980 - KCH kênh mương Tổng Páng đoạn nối tiếp 2020, thôn Ná Bia, xã Nông Hạ, huyện Chợ Mới, tỉnh Bắc Kạn</t>
  </si>
  <si>
    <t>8078994 - KCH kênh mương cánh đồng Nà Quang, xã Nông Hạ, huyện Chợ Mới, tỉnh Bắc Kạn</t>
  </si>
  <si>
    <t>8079107 - Xây dựng trạm bơm thôn Nà Giảo, xã Thanh Thịnh, huyện Chợ Mới</t>
  </si>
  <si>
    <t>8079172 - KCH kênh mương Tổng Vạc, thôn Nà Bản, xã Nông Hạ, huyện Chợ Mới, tỉnh Bắc Kạn</t>
  </si>
  <si>
    <t>8081114 - Sửa chữa nâng cấp cầu máng+ống xi phông qua cánh đồng Tổng Vạc, xã Nông Hạ, huyện Chợ Mới, tỉnh Bắc Kạn</t>
  </si>
  <si>
    <t>8082144 - Đổ đường bê tông trục thôn Bản Chàng (Trên nền đường phía đông đoạn nối tiếp) xã Thanh Thịnh, huyện Chợ Mới, tỉnh Bắc kạn</t>
  </si>
  <si>
    <t>8082145 - Đổ bê tông đường trục thôn Khuổi Nhầu (Quốc lộ 3 đến nhà ông Đông) xã Thanh Thịnh, huyện Chợ Mới, tỉnh Bắc Kạn</t>
  </si>
  <si>
    <t>8082215 - Nâng cấp nhà văn hóa thôn Bản Áng (Hạng mục: lợp mái hiên hội trường thôn và lát nền hội trường thôn) xã Thanh Thịnh, huyện Chợ Mới, tỉnh Bắc Kạn</t>
  </si>
  <si>
    <t>8082403 - Đổ bê tông đường trục thôn Khuổi Nhầu (Quốc lộ 3 qua nhà ông Thọ đến nhà ông Mạnh) xã Thanh Thịnh, huyện Chợ Mới, tỉnh Bắc Kạn</t>
  </si>
  <si>
    <t>8083921 - Xây dựng nhà văn hoá thôn Nà Quang, xã Nông Hạ, huyện Chợ Mới, tỉnh Bắc Kạn</t>
  </si>
  <si>
    <t>8133806 - Xây dựng đập mương khu trung tâm thôn Khe Thỉ 1, xã Nông Hạ, huyện Chợ Mới</t>
  </si>
  <si>
    <t>8133807 - Xây kè chống sạt lở đường trục thôn Nà Giảo, xã Thanh Thịnh, huyện Chợ Mới, tỉnh Bắc Kạn</t>
  </si>
  <si>
    <t>8133826 - Xây kè chống sạt lở đường trục thôn Nà Giảo (Đoạn nối tiếp), xã Thanh Thịnh, huyện Chợ Mới, tỉnh Bắc Kạn</t>
  </si>
  <si>
    <t>8133828 - Kiên cố hóa kênh mương+lắp ống xi phông cánh đồng Nà Kéo, xã Nông Hạ, huyện Chợ Mới, tỉnh Bắc Kạn</t>
  </si>
  <si>
    <t>8135517 - Đường vào thôn Khuổi Lót và thôn Nà Chiêm, xã Thanh Thịnh, huyện Chợ Mới, tỉnh Bắc Kạn</t>
  </si>
  <si>
    <t>8137438 - Đổ bê tông đường đến trạm biến áp, xã Nông Hạ, huyện Chợ Mới, tỉnh Bắc Kạn</t>
  </si>
  <si>
    <t>8137439 - Đổ bê tông đường xuống Khe Con, Khe Thỉ 2, xã Nông Hạ, huyện Chợ Mới, tỉnh Bắc Kạn</t>
  </si>
  <si>
    <t>8137440 - Đổ bê tông đường nối tiếp đường Nà Muộn, Khe Thỉ 2, xã Nông Hạ, huyện Chợ Mới, tỉnh Bắc Kạn</t>
  </si>
  <si>
    <t>8141042 - Đổ bê tông đường lên khu dân cư Thẩm ca thôn Nà Quang (đoạn nối tiếp năm 2023), xã Nông Hạ, huyện Chợ Mới, tỉnh Bắc Kạn</t>
  </si>
  <si>
    <t>8141043 - Đổ bê tông đường lên khu dân cư Thẩm ca, thôn Nà Quang, xã Nông Hạ, huyện Chợ Mới, tỉnh Bắc Kạn</t>
  </si>
  <si>
    <t>8141044 - Đổ bê tông đường nội đồng vào Khuổi Pết, thôn Reo Dài, xã Nông Hạ, huyện Chợ Mới, tỉnh Bắc Kạn</t>
  </si>
  <si>
    <t>8141815 - Đổ bê tông đường giao thông nội đồng xuống khu vực cánh đồng Vàng Trào thôn Bản Tết II, xã Nông Hạ, huyện Chợ Mới, tỉnh Bắc Kạn</t>
  </si>
  <si>
    <t>8144049 - Đổ bê tông đường trục thôn Nà Ngài (Đoạn từ đường phía đông đến nhà ông Cương) thôn Nà Ngài, xã Thanh Thịnh, huyện Chợ Mới, tỉnh Bắc Kạn</t>
  </si>
  <si>
    <t>8144050 - Đổ bê tông đường trục thôn Nà Giảo xã Thanh Thịnh, huyện Chợ Mới</t>
  </si>
  <si>
    <t>8144668 - Đổ bê tông kênh mương thôn Khuổi Nhầu (Đoạn Nà Ca - Nà Riều) xã Thanh Thịnh, huyện Chợ Mới, tỉnh Bắc Kạn</t>
  </si>
  <si>
    <t>8144669 - Đường nội đồng Khe Lịa thôn Cạm Lẹng, xã Thanh Thịnh, huyện Chợ Mới, tỉnh Bắc Kạn</t>
  </si>
  <si>
    <t>8144670 - Đổ bê tông đường đập tràn Khe Lềm thôn Cạm Lẹng, xã Thanh Thịnh, huyện Chợ Mới, tỉnh Bắc Kạn</t>
  </si>
  <si>
    <t>8144730 - Đổ bê tông kênh mương Cha Dất thôn Nà Đeo, xã Thanh Thịnh, huyện Chợ Mới, tỉnh Bắc Kạn</t>
  </si>
  <si>
    <t>8146008 - Đổ bê tông đường nội đồng Nà Cù, xã Nông Hạ, huyện Chợ Mới, tỉnh Bắc Kạn</t>
  </si>
  <si>
    <t>8146009 - Đổ bê tông đường nội đồng vào Pát Khuổi Tết, xã Nông Hạ, huyện Chợ Mới, tỉnh Bắc Kạn</t>
  </si>
  <si>
    <t>8146010 - Đổ bê tông đường ngõ xóm Pháng Bốc thôn Khe Thuổng, xã Nông Hạ, huyện Chợ Mới, tỉnh Bắc Kạn</t>
  </si>
  <si>
    <t>8146011 - KCH kênh mương nối tiếp Hua Tồng, Nà Bắp, xã Nông Hạ, huyện Chợ Mới, tỉnh Bắc Kạn</t>
  </si>
  <si>
    <t>8146136 - KCH kênh mương Tổng Cào thôn cao Thanh, xã Nông Hạ, huyện Chợ Mới, tỉnh Bắc Kạn</t>
  </si>
  <si>
    <t>8146137 - Đổ bê tông + kè đoạn từ nhà bà lai đến nhà ông phú, thôn Nà Quang, xã Nông Hạ, huyện Chợ Mới, tỉnh Bắc Kạn</t>
  </si>
  <si>
    <t>8155742 - Kè đường Nà Làng, thôn Đoàn Kết, xã Nông Hạ, huyện Chợ Mới, tỉnh Bắc Kạn</t>
  </si>
  <si>
    <t>8157696 - Đổ bê tông đường trục thôn Nà Giảo, xã Thanh Thịnh, huyện Chợ Mới</t>
  </si>
  <si>
    <t>8163485 - Đổ bê tông đường Nông Hạ-Yên Hân, xã Thanh Thịnh, tỉnh Thái Nguyên</t>
  </si>
  <si>
    <t>2802107 - Mã tổ chức ngân sách Xã Thanh Thịnh</t>
  </si>
  <si>
    <t xml:space="preserve">Ghi chú: </t>
  </si>
  <si>
    <t>(1) Dự toán chi ngân sách địa phương chi tiết theo các chỉ tiêu tương ứng phần quyết toán chi ngân sách địa phương.</t>
  </si>
  <si>
    <t>(2) Theo quy định tại Điều 7, Điều 11 Luật NSNN, ngân sách huyện, xã không có nhiệm vụ chi trả lãi vay, chi bổ sung quỹ dự trữ tài chính.</t>
  </si>
  <si>
    <t>(3) Ngân sách xã không có nhiệm vụ chi bổ sung có mục tiêu cho ngân sách cấp dưới.</t>
  </si>
  <si>
    <t>(Kèm theo Quyết định số 244/QĐ-UBND ngày 10 tháng 4 năm 2026 của UBND xã Thanh Thịnh)</t>
  </si>
  <si>
    <t>Biểu mẫu số 55</t>
  </si>
  <si>
    <t>QUYẾT TOÁN CHI ĐẦU TƯ PHÁT TRIỂN CỦA NGÂN SÁCH CẤP TỈNH (HUYỆN, XÃ) CHO TỪNG CƠ QUAN, TỔ CHỨC THEO LĨNH VỰC NĂM 2025</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</si>
  <si>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</si>
  <si>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</si>
  <si>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</si>
  <si>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</si>
  <si>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</si>
  <si>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</si>
  <si>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</si>
  <si>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</si>
  <si>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Trong đó</t>
  </si>
  <si>
    <t>Chi hoạt động của cơ quan quản lý nhà nước, đảng, đoàn thể</t>
  </si>
  <si>
    <t>Chi bảo đảm xã hội</t>
  </si>
  <si>
    <t>Chi đầu tư khác</t>
  </si>
  <si>
    <t>Chi giao thông</t>
  </si>
  <si>
    <t>Chi nông nghiệp, lâm nghiệp, thủy lợi, thủy sản</t>
  </si>
  <si>
    <t>18=2/1</t>
  </si>
  <si>
    <t>Biểu mẫu số 58</t>
  </si>
  <si>
    <t>QUYẾT TOÁN CHI NGÂN SÁCH ĐỊA PHƯƠNG TỪNG HUYỆN (XÃ) NĂM 2025</t>
  </si>
  <si>
    <t>(Dùng cho ngân sách tỉnh, huyện)</t>
  </si>
  <si>
    <t>Tên đơn vị (1)</t>
  </si>
  <si>
    <t>Dự toán (2)</t>
  </si>
  <si>
    <t>Chi CTMTQG</t>
  </si>
  <si>
    <t>Chi giáo dục đào tạo dạy nghề</t>
  </si>
  <si>
    <t>Chi khoa học và công nghệ (3)</t>
  </si>
  <si>
    <t>15= 4/1</t>
  </si>
  <si>
    <t>16= 5/2</t>
  </si>
  <si>
    <r>
      <t>Ghi chú:</t>
    </r>
    <r>
      <rPr>
        <i/>
        <sz val="10"/>
        <color rgb="FF000000"/>
        <rFont val="Times New Roman"/>
        <family val="1"/>
      </rPr>
      <t xml:space="preserve"> </t>
    </r>
  </si>
  <si>
    <t>(1) Theo quy định tại Điều 7, Điều 39 Luật NSNN, ngân sách huyện, xã không có nhiệm vụ chi nghiên cứu khoa học và công nghệ.</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</si>
  <si>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</si>
  <si>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</si>
  <si>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QUYẾT TOÁN VỐN ĐẦU TƯ CÁC CHƯƠNG TRÌNH, DỰ ÁN SỬ DỤNG VỐN NGÂN SÁCH NHÀ NƯỚC NĂM 2025</t>
  </si>
  <si>
    <t>Danh mục dự án</t>
  </si>
  <si>
    <t>Địa điểm xây dựng</t>
  </si>
  <si>
    <t>Năng lực thiết kế</t>
  </si>
  <si>
    <t>Thời gian khởi công - hoàn thành</t>
  </si>
  <si>
    <t>Quyết định đầu tư</t>
  </si>
  <si>
    <t>Giá trị khối lượng thực hiện từ khởi công đến 31/12/2025</t>
  </si>
  <si>
    <t>Lũy kế vốn đã bố trí đến 31/12/2025</t>
  </si>
  <si>
    <t>DỰ TOÁN</t>
  </si>
  <si>
    <t>QUYẾT TOÁN</t>
  </si>
  <si>
    <t>Số Quyết định, ngày, tháng, năm ban hành</t>
  </si>
  <si>
    <t>Tổng mức đầu tư được duyệt</t>
  </si>
  <si>
    <t>Tổng số (tất cả các nguồn vốn)</t>
  </si>
  <si>
    <t>Chia theo nguồn vốn</t>
  </si>
  <si>
    <t>Ngoài nước</t>
  </si>
  <si>
    <t>Ngân sách trung ương</t>
  </si>
  <si>
    <t>Ngân sách tỉnh đối ứng</t>
  </si>
  <si>
    <t>NS địa phương</t>
  </si>
  <si>
    <t>Ngân sách địa phương</t>
  </si>
  <si>
    <t>30=25/20</t>
  </si>
  <si>
    <t>31=26/21</t>
  </si>
  <si>
    <t>32=27/22</t>
  </si>
  <si>
    <t>33=28/23</t>
  </si>
  <si>
    <t>34=29/24</t>
  </si>
  <si>
    <t>CHI ĐẦU TƯ HỖ TRỢ VỐN CHO CÁC DOANH NGHIỆP, TỔ CHỨC TÀI CHÍNH</t>
  </si>
  <si>
    <t>CHI ĐẦU TƯ CÁC DỰ ÁN THEO LĨNH VỰC</t>
  </si>
  <si>
    <t>I.1</t>
  </si>
  <si>
    <t>Thôn Đồng Tiến, xã Thanh Thịnh</t>
  </si>
  <si>
    <t>2021-2023</t>
  </si>
  <si>
    <t>NQ số 48/NQ-HĐND ngày 30/7/2021</t>
  </si>
  <si>
    <t>I.2</t>
  </si>
  <si>
    <t>Thôn Bản còn, xã Thanh Thịnh</t>
  </si>
  <si>
    <t>2022-2023</t>
  </si>
  <si>
    <t>QĐ số 653/QĐ-UBND ngày 8/12/2022 của UBND xã Thanh Thịnh</t>
  </si>
  <si>
    <t>Thôn Đoàn kết, xã Thanh Thịnh</t>
  </si>
  <si>
    <t>QĐ số 858/QĐ-UBND ngày 02/12/2022 của UBND xã Nông Hạ</t>
  </si>
  <si>
    <t>QĐ số 858/QĐ-UBND ngày 19/9/2023 của UBND xã Nông Hạ</t>
  </si>
  <si>
    <t>Thôn Bản Áng, xã Thanh Thịnh</t>
  </si>
  <si>
    <t>QĐ số 300/QĐ-UBND ngày 29/12/2023 của UBND xã Thanh Thịnh</t>
  </si>
  <si>
    <t>Thôn Nà Quang, xã Thanh Thịnh</t>
  </si>
  <si>
    <t>QĐ số 1303/QĐ-UBND ngày 22/12/2023 của UBND xã Nông Hạ</t>
  </si>
  <si>
    <t>I.3</t>
  </si>
  <si>
    <t>I.3.1</t>
  </si>
  <si>
    <t>Chi giao thông vận tải</t>
  </si>
  <si>
    <t>QĐ số 258/QĐ-UBND
ngày 15/2/2023 của UBND
huyện Chợ Mới</t>
  </si>
  <si>
    <t>QĐ số 697/QĐ-UBND ngày 25/7/2023 của UBND xã Nông Hạ</t>
  </si>
  <si>
    <t>QĐ số 1310/QĐ-UBND ngày 22/12/2023 của UBND xã Nông Hạ</t>
  </si>
  <si>
    <t>Thôn Khe Thỉ 2, xã Thanh Thịnh</t>
  </si>
  <si>
    <t>QĐ số 1300/QĐ-UBND ngày 22/12/2023 của UBND xã Nông Hạ</t>
  </si>
  <si>
    <t>Thôn Cao Thanh, xã Thanh Thịnh</t>
  </si>
  <si>
    <t>QĐ số 1302/QĐ-UBND ngày 22/12/2023 của UBND xã Nông Hạ</t>
  </si>
  <si>
    <t>QĐ số 1307/QĐ-UBND ngày 22/12/2023 của UBND xã Nông Hạ</t>
  </si>
  <si>
    <t>Thôn Khe Thuổng, xã Thanh Thịnh</t>
  </si>
  <si>
    <t>QĐ số 1308/QĐ-UBND ngày 22/12/2023 của UBND xã Nông Hạ</t>
  </si>
  <si>
    <t>Thôn Tân Phong, xã Thanh Thịnh</t>
  </si>
  <si>
    <t>QĐ số 1299/QĐ-UBND ngày 22/12/2023 của UBND xã Nông Hạ</t>
  </si>
  <si>
    <t>Thôn Khe Thỉ 1, xã Thanh Thịnh</t>
  </si>
  <si>
    <t>QĐ số 1311/QĐ-UBND ngày 22/12/2023 của UBND xã Nông Hạ</t>
  </si>
  <si>
    <t>Thôn Khuổi Nhầu, xã Thanh Thịnh</t>
  </si>
  <si>
    <t>QĐ số 295/QĐ-UBND ngày 28/12/2023 của UBND xã Thanh Thịnh</t>
  </si>
  <si>
    <t>QĐ số 297/QĐ-UBND ngày 28/12/2023 của UBND xã Thanh Thịnh</t>
  </si>
  <si>
    <t>Thôn Nà Giảo, xã Thanh Thịnh</t>
  </si>
  <si>
    <t>2025-2025</t>
  </si>
  <si>
    <t>số 322/QĐ-UBND ngày 18/02/2025 của UBND huyện Chợ Mới</t>
  </si>
  <si>
    <t>số 323/QĐ-UBND ngày 18/02/2025 của UBND huyện Chợ Mới</t>
  </si>
  <si>
    <t xml:space="preserve">Thôn Khuổi Lót </t>
  </si>
  <si>
    <t>2025-2026</t>
  </si>
  <si>
    <t xml:space="preserve">502/QĐ-UBND ngày 07/3/2025 của UBND huyện Chợ Mới </t>
  </si>
  <si>
    <t>QĐ số 1400/QĐ-UBND ngày 26/11/2024 của UBND xã Nông Hạ</t>
  </si>
  <si>
    <t>QĐ số 1401/QĐ-UBND ngày 26/11/2024 của UBND xã Nông Hạ</t>
  </si>
  <si>
    <t>QĐ số 1398/QĐ-UBND ngày 25/11/2024 của UBND xã Nông Hạ</t>
  </si>
  <si>
    <t>QĐ số 1402/QĐ-UBND ngày 26/11/2024 của UBND xã Nông Hạ</t>
  </si>
  <si>
    <t>QĐ số 1399/QĐ-UBND ngày 26/11/2024 của UBND xã Nông Hại</t>
  </si>
  <si>
    <t>Thôn Reo Dài, xã Thanh Thịnh</t>
  </si>
  <si>
    <t>QĐ số 1404/QĐ-UBND ngày 26/11/2024 của UBND xã Nông Hạ</t>
  </si>
  <si>
    <t>QĐ số 1406/QĐ-UBND ngày 26/11/2024 của UBND xã Nông Hạ</t>
  </si>
  <si>
    <t>Thôn Nà Ngài, xã Thanh Thịnh</t>
  </si>
  <si>
    <t>QĐ số 1571/QĐ-UBND ngày 25/11/2024 của UBND xã Thanh Thịnh</t>
  </si>
  <si>
    <t>Thôn Nà Dảo, xã Thanh Thịnh</t>
  </si>
  <si>
    <t>QĐ số 1570/QĐ-UBND ngày 25/11/2024 của UBND xã Thanh Thịnh</t>
  </si>
  <si>
    <t>Thôn Cạm Lẹng, xã Thanh Thịnh</t>
  </si>
  <si>
    <t>QĐ số 1576/QĐ-UBND ngày 29/11/2024 của UBND xã Thanh Thịnh</t>
  </si>
  <si>
    <t>QĐ số 1567/QĐ-UBND ngày 25/11/2024 của UBND xã Thanh Thịnh</t>
  </si>
  <si>
    <t xml:space="preserve"> </t>
  </si>
  <si>
    <t>QĐ số 1403/QĐ-UBND ngày 26/11/2024 của UBND xã Nông Hạ</t>
  </si>
  <si>
    <t>QĐ số 1405/QĐ-UBND ngày 26/11/2024 của UBND xã Nông Hạ</t>
  </si>
  <si>
    <t>QĐ số 121/QĐ-UBND ngày 12/02/2025 của UBND xã Nông Hạ</t>
  </si>
  <si>
    <t>Quyết định số 562/QĐ-UBND ngày 03/4/2025 của UBND xã Thanh Thịnh</t>
  </si>
  <si>
    <t>QĐ số 536/QĐ-UBND ngày 13/10/2025 của UBND xã Thanh Thịnh</t>
  </si>
  <si>
    <t>QĐ số 1397/QĐ-UBND ngày 25/11/2024 của UBND xã Nông Hạ</t>
  </si>
  <si>
    <t>QĐ số 331/QĐ-UBND ngày 14/5/2025 của UBND xã Nông Hạ</t>
  </si>
  <si>
    <t>Thôn Bản Chàng, xã Thanh Thịnh</t>
  </si>
  <si>
    <t>QĐ số 296/QĐ-UBND ngày 28/12/2023 của UBND xã Thanh Thịnh</t>
  </si>
  <si>
    <t>QĐ số 685/QĐ-UBND ngày 18/7/2023 của UBND xã Nông Hạ</t>
  </si>
  <si>
    <t>I.3.2</t>
  </si>
  <si>
    <t xml:space="preserve">Chi nông , lâm ngư nghiệp và thuỷ lợi </t>
  </si>
  <si>
    <t>Thôn Nà Cù-Ná Bia</t>
  </si>
  <si>
    <t>2023-2025</t>
  </si>
  <si>
    <t>Nghị Quyết số 52/NQ-HĐND ngày 30/9/2022</t>
  </si>
  <si>
    <t>QĐ số 622/QĐ-UBND ngày 07/6/2024 của UBND xã Nông Hạ</t>
  </si>
  <si>
    <t>QĐ số 646/QĐ-UBND ngày 8/12/2022 của UBND xã Thanh Thịnh</t>
  </si>
  <si>
    <t>QĐ số 647/QĐ-UBND ngày 8/12/2022 của UBND xã Thanh Thịnh</t>
  </si>
  <si>
    <t>QĐ số 1309/QĐ-UBND ngày 22/12/2023 của UBND xã Nông Hạ</t>
  </si>
  <si>
    <t>số 311/QĐ-UBND ngày 18/02/2025 của UBND huyện Chợ Mới</t>
  </si>
  <si>
    <t>QĐ số 656/QĐ-UBND ngày 8/12/2022 của UBND xã Thanh Thịnh</t>
  </si>
  <si>
    <t>QĐ số 869/QĐ-UBND ngày 02/12/2022 của UBND xã Nông Hạ</t>
  </si>
  <si>
    <t>QĐ số 260/QĐ-UBND
ngày 15/2/2023 của UBND
huyện Chợ Mới</t>
  </si>
  <si>
    <t>QĐ số 1568/QĐ-UBND ngày 25/11/2024 của UBND xã Thanh Thịnh</t>
  </si>
  <si>
    <t>Thôn Nà Đeo, xã Thanh Thịnh</t>
  </si>
  <si>
    <t>QĐ số 1569/QĐ-UBND ngày 25/11/2024 của UBND xã Thanh Thịnh</t>
  </si>
  <si>
    <t>Số 314/QĐ-UBND ngày   18/02/2025 của UBND huyện Chợ Mới</t>
  </si>
  <si>
    <t>QĐ số 1396/QĐ-UBND ngày 25/11/2024 của UBND xã Nông Hạ</t>
  </si>
  <si>
    <t>QĐ số 1395/QĐ-UBND ngày 25/11/2024 của UBND xã Nông Hạ</t>
  </si>
  <si>
    <t>QĐ số 670/QĐ-UBND ngày 18/03/2024 của UBND huyện Chợ Mới</t>
  </si>
  <si>
    <t>QĐ số 615/QĐ-UBND ngày 07/6/2024 của UBND xã Nông Hạ</t>
  </si>
  <si>
    <t>QĐ số 645/QĐ-UBND ngày 8/12/2022 của UBND xã Thanh Thịnh</t>
  </si>
  <si>
    <t>2024-2024</t>
  </si>
  <si>
    <t>QĐ số 174/QĐ-UBND
ngày 12/01/2024 của
UBND huyện Chợ Mới</t>
  </si>
  <si>
    <t>I.3.3</t>
  </si>
  <si>
    <t>Chi kinh tế khác</t>
  </si>
  <si>
    <t>Xã Thanh Thịnh</t>
  </si>
  <si>
    <t>2022-2024</t>
  </si>
  <si>
    <t>QĐ số 2323/QĐ-UBND
 ngày 29/8/2022 của UBND huyện Chợ Mới</t>
  </si>
  <si>
    <t>I.4</t>
  </si>
  <si>
    <t>Chi đảm bảo xã hội</t>
  </si>
  <si>
    <t>Tại các thôn</t>
  </si>
  <si>
    <t>Quyết định số 325/QĐ-UBND ngày 18/02/2025 của Ủy ban nhân dân huyện Chợ Mới</t>
  </si>
  <si>
    <t xml:space="preserve">Tên đơn vị: UBND xã Thanh Thịnh </t>
  </si>
  <si>
    <t>Chương..........</t>
  </si>
  <si>
    <r>
      <t>TÌNH HÌNH THỰC HIỆN KẾ HOẠCH TÀI CHÍNH CỦA CÁC QUỸ TÀI CHÍNH NHÀ NƯỚC NGOÀI NGÂN SÁCH</t>
    </r>
    <r>
      <rPr>
        <b/>
        <vertAlign val="superscript"/>
        <sz val="14"/>
        <rFont val="Times New Roman"/>
        <family val="1"/>
        <charset val="163"/>
      </rPr>
      <t xml:space="preserve"> (1)</t>
    </r>
    <r>
      <rPr>
        <b/>
        <sz val="14"/>
        <rFont val="Times New Roman"/>
        <family val="1"/>
      </rPr>
      <t xml:space="preserve"> NĂM 2025</t>
    </r>
  </si>
  <si>
    <t>TÊN QUỸ</t>
  </si>
  <si>
    <t>DƯ NGUỒN ĐẾN 31/12/năm N-1 (1)</t>
  </si>
  <si>
    <t>KẾ HOẠCH NĂM 2025</t>
  </si>
  <si>
    <t>THỰC HIỆN NĂM 2025</t>
  </si>
  <si>
    <t>DƯ NGUỒN ĐẾN 31/12 năm N (1)</t>
  </si>
  <si>
    <t>GHI CHÚ</t>
  </si>
  <si>
    <t>TỔNG NGUỒN VỐN PHÁT SINH TRONG NĂM (2)</t>
  </si>
  <si>
    <t>TỔNG SỐ VỐN SỬ DỤNG NGUỒN VỐN TRONG NĂM (3)</t>
  </si>
  <si>
    <t>CHÊNH LỆCH NGUỒN TRONG NĂM</t>
  </si>
  <si>
    <t xml:space="preserve">TỔNG SỬ DỤNG NGUỒN VỐN TRONG NĂM </t>
  </si>
  <si>
    <t>TRONG ĐÓ: HỖ TRỢ TỪ NSNN (nếu có)</t>
  </si>
  <si>
    <t>Tr.đó: Bổ sung vốn điều lệ (nếu có)</t>
  </si>
  <si>
    <t>4=1+2</t>
  </si>
  <si>
    <t>6=2-4</t>
  </si>
  <si>
    <t>11=7-9</t>
  </si>
  <si>
    <t>12=1+2-9</t>
  </si>
  <si>
    <t xml:space="preserve">Quỹ vì người nghèo </t>
  </si>
  <si>
    <t>Vụ HCSN</t>
  </si>
  <si>
    <t>Quỹ vận động cứu trợ</t>
  </si>
  <si>
    <t>Quỹ Đền ơn đáp Nghĩa xã Thanh Thịnh (BQL Quỹ đền ơn Đáp Nghĩa)</t>
  </si>
  <si>
    <t>Quỹ Bảo trợ trẻ em</t>
  </si>
  <si>
    <t>CV 168/TCDN-NV4 ngày 10/02/2023 của Cục TCDN</t>
  </si>
  <si>
    <t xml:space="preserve">Cục TCDN: </t>
  </si>
  <si>
    <t>Quỹ Chăm sóc người cao tuổi (Phòng VH-XH)</t>
  </si>
  <si>
    <t>CV 236/QLN-KTN ngày 14/02/203 của Cục QLN</t>
  </si>
  <si>
    <t>Cục QLN</t>
  </si>
  <si>
    <t>Quỹ Khuyến học</t>
  </si>
  <si>
    <t>Quỹ phòng Chống thiên tai (phòng VH-XH)</t>
  </si>
  <si>
    <t>(1) Đối với các quỹ Bảo hiểm (bảo hiểm xã hội, bảo hiểm y tế, bảo hiểm thất nghiệp) là số dư Quỹ.</t>
  </si>
  <si>
    <t>(2) Đối với các quỹ Bảo hiểm: phạm vi bao gồm thu tiền đóng bảo hiểm xã hội, bảo hiểm y tế, bảo hiểm thất nghiệp theo chế độ quy định, thu lãi từ hoạt động đầu tư quỹ.</t>
  </si>
  <si>
    <t>- Đối với các Quỹ khác: phạm vi bao gồm vốn thu hồi nợ vay, NSNN cấp, vốn huy động, đóng góp của các tổ chức, cá nhân, thu tài chính Quỹ.</t>
  </si>
  <si>
    <t>(3) Đối với các quỹ Bảo hiểm: phạm vi bao gồm chi trả chế độ bảo hiểm xã hội, bảo hiểm y tế, bảo hiểm thất nghiệp; chi phí hoạt động quản lý và đầu tư của hệ thống Bảo hiểm xã hội Việt Nam.</t>
  </si>
  <si>
    <t>- Đối với các Quỹ khác: phạm vi bao gồm cho vay đầu tư; hỗ trợ lãi suất; tài trợ không hoàn lại; chi tài chính Quỹ, bao gồm cả chênh lệch thu lớn hơn chi Quỹ (nếu có).</t>
  </si>
  <si>
    <t>TỔNG HỢP THU DỊCH VỤ CỦA ĐƠN VỊ SỰ NGHIỆP CÔNG NĂM 2025</t>
  </si>
  <si>
    <t>(KHÔNG BAO GỒM NGUỒN NGÂN SÁCH NHÀ NƯỚC)</t>
  </si>
  <si>
    <t>Kế hoạch năm 2025</t>
  </si>
  <si>
    <t>Thực hiện năm 2025</t>
  </si>
  <si>
    <t>Sự nghiệp giáo dục - đào tạo và dạy nghề</t>
  </si>
  <si>
    <t>Sự nghiệp giáo dục</t>
  </si>
  <si>
    <t>Sự nghiệp đào tạo và dạy nghề</t>
  </si>
  <si>
    <t>Trường MN Nông Hạ</t>
  </si>
  <si>
    <t>Trường THCS Nông Hạ</t>
  </si>
  <si>
    <t>Trường Mầm non Thanh Thịnh</t>
  </si>
  <si>
    <t>Trường TH&amp;THCS Thanh Bình ( cấp THCS)</t>
  </si>
  <si>
    <t>Sự nghiệp khoa học và công nghệ</t>
  </si>
  <si>
    <t>Sự nghiệp y tế</t>
  </si>
  <si>
    <t>Sự nghiệp văn hóa thông tin</t>
  </si>
  <si>
    <t>Sự nghiệp phát thanh truyền hình</t>
  </si>
  <si>
    <t>Sự nghiệp thể dục thể thao</t>
  </si>
  <si>
    <t>……………</t>
  </si>
  <si>
    <t>Biểu mẫu 01</t>
  </si>
  <si>
    <t>Biểu mẫu số 02</t>
  </si>
  <si>
    <t>Biểu mẫu số 03</t>
  </si>
  <si>
    <t>Mẫu số 04</t>
  </si>
  <si>
    <t>Biểu mẫu số 05</t>
  </si>
  <si>
    <t>Mẫu biểu số 06</t>
  </si>
  <si>
    <t>Biểu mẫu số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</si>
</sst>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_(* \(#,##0\);_(* &quot;-&quot;_);_(@_)"/>
    <numFmt numFmtId="165" formatCode="_(* #,##0.00_);_(* \(#,##0.00\);_(* &quot;-&quot;??_);_(@_)"/>
    <numFmt numFmtId="166" formatCode="_-* #,##0.000_-;\-* #,##0.000_-;_-* &quot;-&quot;??_-;_-@_-"/>
    <numFmt numFmtId="167" formatCode="#,##0.0"/>
    <numFmt numFmtId="169" formatCode="#,##0.000"/>
    <numFmt numFmtId="170" formatCode="_(* #,##0.0000_);_(* \(#,##0.0000\);_(* &quot;-&quot;_);_(@_)"/>
    <numFmt numFmtId="171" formatCode="#,##0.0000"/>
    <numFmt numFmtId="172" formatCode="0.000"/>
    <numFmt numFmtId="173" formatCode="[$-1042A]#,###"/>
    <numFmt numFmtId="174" formatCode="0.0000"/>
    <numFmt numFmtId="175" formatCode="_(* #,##0.000_);_(* \(#,##0.000\);_(* &quot;-&quot;??_);_(@_)"/>
    <numFmt numFmtId="176" formatCode="_(* #,##0_);_(* \(#,##0\);_(* &quot;-&quot;??_);_(@_)"/>
    <numFmt numFmtId="177" formatCode="###,###,###"/>
  </numFmts>
  <fonts count="70" x14ac:knownFonts="1">
    <font>
      <sz val="14"/>
      <color theme="1"/>
      <name val="Times New Roman"/>
      <family val="2"/>
    </font>
    <font>
      <sz val="14"/>
      <color theme="1"/>
      <name val="Times New Roman"/>
      <family val="2"/>
    </font>
    <font>
      <b/>
      <sz val="12"/>
      <color rgb="FF000000"/>
      <name val="Times New Roman"/>
      <family val="1"/>
    </font>
    <font>
      <i/>
      <sz val="12"/>
      <color rgb="FF000000"/>
      <name val="Times New Roman"/>
      <family val="1"/>
    </font>
    <font>
      <b/>
      <sz val="10"/>
      <color rgb="FF000000"/>
      <name val="Times New Roman"/>
      <family val="1"/>
    </font>
    <font>
      <sz val="12"/>
      <color rgb="FF000000"/>
      <name val="Times New Roman"/>
      <family val="1"/>
    </font>
    <font>
      <sz val="10"/>
      <color rgb="FF000000"/>
      <name val="Times New Roman"/>
      <family val="1"/>
    </font>
    <font>
      <b/>
      <i/>
      <sz val="12"/>
      <color rgb="FF000000"/>
      <name val="Times New Roman"/>
      <family val="1"/>
    </font>
    <font>
      <sz val="11"/>
      <color theme="1"/>
      <name val="Times New Roman"/>
      <family val="1"/>
    </font>
    <font>
      <b/>
      <sz val="9"/>
      <color rgb="FF000000"/>
      <name val="Times New Roman"/>
      <family val="1"/>
    </font>
    <font>
      <sz val="9"/>
      <color rgb="FF000000"/>
      <name val="Times New Roman"/>
      <family val="1"/>
    </font>
    <font>
      <i/>
      <sz val="10"/>
      <color rgb="FF000000"/>
      <name val="Times New Roman"/>
      <family val="1"/>
    </font>
    <font>
      <b/>
      <sz val="9"/>
      <color theme="1"/>
      <name val="Times New Roman"/>
      <family val="1"/>
    </font>
    <font>
      <i/>
      <sz val="9"/>
      <color rgb="FF000000"/>
      <name val="Times New Roman"/>
      <family val="1"/>
    </font>
    <font>
      <sz val="10"/>
      <color theme="1"/>
      <name val="Times New Roman"/>
      <family val="1"/>
    </font>
    <font>
      <b/>
      <sz val="12"/>
      <name val="Times New Roman"/>
      <family val="1"/>
    </font>
    <font>
      <i/>
      <sz val="12"/>
      <name val="Times New Roman"/>
      <family val="1"/>
    </font>
    <font>
      <b/>
      <sz val="10"/>
      <name val="Times New Roman"/>
      <family val="1"/>
    </font>
    <font>
      <sz val="10"/>
      <name val="Times New Roman"/>
      <family val="1"/>
    </font>
    <font>
      <b/>
      <sz val="10"/>
      <color theme="1"/>
      <name val="Times New Roman"/>
      <family val="1"/>
    </font>
    <font>
      <b/>
      <sz val="9"/>
      <name val="Times New Roman"/>
      <family val="1"/>
    </font>
    <font>
      <sz val="11"/>
      <color rgb="FF000000"/>
      <name val="Arial"/>
      <family val="2"/>
      <scheme val="minor"/>
    </font>
    <font>
      <sz val="9"/>
      <name val="Times New Roman"/>
      <family val="1"/>
    </font>
    <font>
      <sz val="9"/>
      <color theme="1"/>
      <name val="Times New Roman"/>
      <family val="1"/>
    </font>
    <font>
      <sz val="8"/>
      <color rgb="FF000000"/>
      <name val="Times New Roman"/>
      <family val="1"/>
    </font>
    <font>
      <b/>
      <i/>
      <sz val="12"/>
      <name val="Times New Roman"/>
      <family val="1"/>
    </font>
    <font>
      <sz val="12"/>
      <name val="Times New Roman"/>
      <family val="1"/>
    </font>
    <font>
      <b/>
      <sz val="8"/>
      <color rgb="FF000000"/>
      <name val="Times New Roman"/>
      <family val="1"/>
    </font>
    <font>
      <b/>
      <sz val="8"/>
      <name val="Times New Roman"/>
      <family val="1"/>
    </font>
    <font>
      <sz val="11"/>
      <color rgb="FFFF0000"/>
      <name val="Times New Roman"/>
      <family val="1"/>
    </font>
    <font>
      <b/>
      <sz val="11"/>
      <name val="Times New Roman"/>
      <family val="1"/>
    </font>
    <font>
      <sz val="11"/>
      <name val="Times New Roman"/>
      <family val="1"/>
    </font>
    <font>
      <sz val="10"/>
      <color rgb="FFFF0000"/>
      <name val="Times New Roman"/>
      <family val="1"/>
    </font>
    <font>
      <b/>
      <i/>
      <sz val="10"/>
      <color rgb="FF000000"/>
      <name val="Times New Roman"/>
      <family val="1"/>
    </font>
    <font>
      <sz val="11"/>
      <color theme="1"/>
      <name val="Arial"/>
      <family val="2"/>
      <scheme val="minor"/>
    </font>
    <font>
      <sz val="10"/>
      <color rgb="FF000000"/>
      <name val="Arial"/>
      <family val="2"/>
      <scheme val="minor"/>
    </font>
    <font>
      <sz val="9"/>
      <color rgb="FFFF0000"/>
      <name val="Times New Roman"/>
      <family val="1"/>
    </font>
    <font>
      <sz val="10"/>
      <name val="Arial"/>
      <family val="2"/>
    </font>
    <font>
      <sz val="13"/>
      <color theme="1"/>
      <name val="Times New Roman"/>
      <family val="1"/>
    </font>
    <font>
      <sz val="13"/>
      <name val="Times New Roman"/>
      <family val="1"/>
    </font>
    <font>
      <sz val="12"/>
      <color theme="1"/>
      <name val="Times New Roman"/>
      <family val="1"/>
    </font>
    <font>
      <sz val="12"/>
      <color theme="1"/>
      <name val="Times New Roman"/>
      <family val="2"/>
    </font>
    <font>
      <sz val="10"/>
      <color indexed="8"/>
      <name val="Times New Roman"/>
      <family val="1"/>
    </font>
    <font>
      <b/>
      <sz val="9"/>
      <color indexed="81"/>
      <name val="Tahoma"/>
      <family val="2"/>
    </font>
    <font>
      <sz val="9"/>
      <color indexed="81"/>
      <name val="Tahoma"/>
      <family val="2"/>
    </font>
    <font>
      <sz val="12"/>
      <name val=".VnTime"/>
      <family val="2"/>
    </font>
    <font>
      <b/>
      <sz val="13"/>
      <name val="Times New Roman"/>
      <family val="1"/>
      <charset val="163"/>
    </font>
    <font>
      <sz val="11"/>
      <color indexed="8"/>
      <name val="Calibri"/>
      <family val="2"/>
      <charset val="163"/>
    </font>
    <font>
      <sz val="11"/>
      <color indexed="8"/>
      <name val="Times New Roman"/>
      <family val="1"/>
    </font>
    <font>
      <b/>
      <sz val="12"/>
      <name val="Times New Roman"/>
      <family val="1"/>
      <charset val="163"/>
    </font>
    <font>
      <i/>
      <sz val="11"/>
      <color indexed="8"/>
      <name val="Times New Roman"/>
      <family val="1"/>
      <charset val="163"/>
    </font>
    <font>
      <b/>
      <sz val="14"/>
      <name val="Times New Roman"/>
      <family val="1"/>
    </font>
    <font>
      <b/>
      <vertAlign val="superscript"/>
      <sz val="14"/>
      <name val="Times New Roman"/>
      <family val="1"/>
      <charset val="163"/>
    </font>
    <font>
      <i/>
      <sz val="14"/>
      <name val="Times New Roman"/>
      <family val="1"/>
    </font>
    <font>
      <b/>
      <sz val="10"/>
      <color indexed="8"/>
      <name val="Times New Roman"/>
      <family val="1"/>
    </font>
    <font>
      <b/>
      <sz val="11"/>
      <color indexed="8"/>
      <name val="Times New Roman"/>
      <family val="1"/>
      <charset val="163"/>
    </font>
    <font>
      <sz val="11"/>
      <color indexed="8"/>
      <name val="Times New Roman"/>
      <family val="1"/>
      <charset val="163"/>
    </font>
    <font>
      <b/>
      <sz val="11"/>
      <color indexed="8"/>
      <name val="Times New Roman"/>
      <family val="1"/>
    </font>
    <font>
      <b/>
      <sz val="11"/>
      <color indexed="8"/>
      <name val="Calibri"/>
      <family val="2"/>
    </font>
    <font>
      <sz val="12"/>
      <color indexed="8"/>
      <name val="Times New Roman"/>
      <family val="1"/>
    </font>
    <font>
      <sz val="11"/>
      <name val="Times New Roman"/>
      <family val="1"/>
      <charset val="163"/>
    </font>
    <font>
      <sz val="11"/>
      <name val="Calibri"/>
      <family val="2"/>
    </font>
    <font>
      <sz val="12"/>
      <color indexed="8"/>
      <name val="Calibri"/>
      <family val="2"/>
    </font>
    <font>
      <b/>
      <i/>
      <sz val="11"/>
      <color indexed="8"/>
      <name val="Times New Roman"/>
      <family val="1"/>
    </font>
    <font>
      <i/>
      <sz val="11"/>
      <color indexed="8"/>
      <name val="Times New Roman"/>
      <family val="1"/>
    </font>
    <font>
      <sz val="12"/>
      <name val=".VnArial"/>
      <family val="2"/>
    </font>
    <font>
      <i/>
      <sz val="12"/>
      <color indexed="8"/>
      <name val="Times New Roman"/>
      <family val="1"/>
    </font>
    <font>
      <sz val="10"/>
      <color theme="1"/>
      <name val="Arial"/>
      <family val="2"/>
      <charset val="163"/>
      <scheme val="minor"/>
    </font>
    <font>
      <sz val="12"/>
      <color rgb="FF000000"/>
      <name val="Arial"/>
      <family val="2"/>
      <scheme val="minor"/>
    </font>
    <font>
      <i/>
      <sz val="11"/>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6">
    <xf numFmtId="0" fontId="0" fillId="0" borderId="0"/>
    <xf numFmtId="165" fontId="1" fillId="0" borderId="0" applyFont="0" applyFill="0" applyBorder="0" applyAlignment="0" applyProtection="0"/>
    <xf numFmtId="164" fontId="1" fillId="0" borderId="0" applyFont="0" applyFill="0" applyBorder="0" applyAlignment="0" applyProtection="0"/>
    <xf numFmtId="0" fontId="21" fillId="0" borderId="0"/>
    <xf numFmtId="0" fontId="34" fillId="0" borderId="0"/>
    <xf numFmtId="0" fontId="35" fillId="0" borderId="0"/>
    <xf numFmtId="0" fontId="35" fillId="0" borderId="0"/>
    <xf numFmtId="165"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5" fontId="3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7" fillId="0" borderId="0"/>
    <xf numFmtId="0" fontId="41" fillId="0" borderId="0"/>
    <xf numFmtId="0" fontId="45" fillId="0" borderId="0"/>
    <xf numFmtId="0" fontId="21" fillId="0" borderId="0"/>
    <xf numFmtId="165" fontId="37" fillId="0" borderId="0" applyFont="0" applyFill="0" applyBorder="0" applyAlignment="0" applyProtection="0"/>
    <xf numFmtId="0" fontId="65" fillId="0" borderId="0"/>
    <xf numFmtId="0" fontId="68" fillId="0" borderId="0"/>
  </cellStyleXfs>
  <cellXfs count="295">
    <xf numFmtId="0" fontId="0" fillId="0" borderId="0" xfId="0"/>
    <xf numFmtId="0" fontId="2" fillId="0" borderId="0" xfId="0" applyFont="1" applyAlignment="1">
      <alignment horizontal="right" vertical="center"/>
    </xf>
    <xf numFmtId="0" fontId="3" fillId="0" borderId="0" xfId="0" applyFont="1" applyAlignment="1">
      <alignment horizontal="righ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166" fontId="4" fillId="0" borderId="1" xfId="1" applyNumberFormat="1" applyFont="1" applyBorder="1" applyAlignment="1">
      <alignment horizontal="right" vertical="center" wrapText="1"/>
    </xf>
    <xf numFmtId="167" fontId="4" fillId="0" borderId="1" xfId="0" applyNumberFormat="1" applyFont="1" applyBorder="1" applyAlignment="1">
      <alignment horizontal="right" vertical="center" wrapText="1"/>
    </xf>
    <xf numFmtId="0" fontId="5" fillId="0" borderId="1" xfId="0" applyFont="1" applyBorder="1" applyAlignment="1">
      <alignment vertical="center" wrapText="1"/>
    </xf>
    <xf numFmtId="166" fontId="6" fillId="0" borderId="1" xfId="1" applyNumberFormat="1" applyFont="1" applyBorder="1" applyAlignment="1">
      <alignment horizontal="right" vertical="center" wrapText="1"/>
    </xf>
    <xf numFmtId="166" fontId="6" fillId="0" borderId="1" xfId="1" applyNumberFormat="1" applyFont="1" applyFill="1" applyBorder="1" applyAlignment="1">
      <alignment horizontal="right" vertical="center" wrapText="1"/>
    </xf>
    <xf numFmtId="0" fontId="5" fillId="0" borderId="1" xfId="0" quotePrefix="1" applyFont="1" applyBorder="1" applyAlignment="1">
      <alignment vertical="center" wrapText="1"/>
    </xf>
    <xf numFmtId="166" fontId="6" fillId="0" borderId="1" xfId="1" applyNumberFormat="1" applyFont="1" applyBorder="1" applyAlignment="1">
      <alignment horizontal="center" vertical="center" wrapText="1"/>
    </xf>
    <xf numFmtId="166" fontId="2" fillId="0" borderId="1" xfId="1" applyNumberFormat="1" applyFont="1" applyBorder="1" applyAlignment="1">
      <alignment vertical="center" wrapText="1"/>
    </xf>
    <xf numFmtId="0" fontId="8" fillId="0" borderId="0" xfId="0" applyFont="1"/>
    <xf numFmtId="0" fontId="8" fillId="0" borderId="0" xfId="0" applyFont="1" applyAlignment="1">
      <alignment horizontal="center"/>
    </xf>
    <xf numFmtId="0" fontId="0" fillId="0" borderId="0" xfId="0" applyAlignment="1">
      <alignment horizontal="center"/>
    </xf>
    <xf numFmtId="0" fontId="4" fillId="0" borderId="1" xfId="0" applyFont="1" applyBorder="1" applyAlignment="1">
      <alignment vertical="center" wrapText="1"/>
    </xf>
    <xf numFmtId="169" fontId="9" fillId="0" borderId="1" xfId="0" applyNumberFormat="1" applyFont="1" applyBorder="1" applyAlignment="1">
      <alignment horizontal="right" vertical="center" wrapText="1"/>
    </xf>
    <xf numFmtId="167" fontId="9" fillId="0" borderId="1" xfId="0" applyNumberFormat="1" applyFont="1" applyBorder="1" applyAlignment="1">
      <alignment horizontal="right" vertical="center" wrapText="1"/>
    </xf>
    <xf numFmtId="169" fontId="9" fillId="0" borderId="1" xfId="0" applyNumberFormat="1" applyFont="1" applyBorder="1" applyAlignment="1">
      <alignment vertical="center" wrapText="1"/>
    </xf>
    <xf numFmtId="0" fontId="6" fillId="0" borderId="1" xfId="0" quotePrefix="1" applyFont="1" applyBorder="1" applyAlignment="1">
      <alignment vertical="center" wrapText="1"/>
    </xf>
    <xf numFmtId="169" fontId="10" fillId="0" borderId="1" xfId="0" applyNumberFormat="1" applyFont="1" applyBorder="1" applyAlignment="1">
      <alignment vertical="center" wrapText="1"/>
    </xf>
    <xf numFmtId="167" fontId="10" fillId="0" borderId="1" xfId="0" applyNumberFormat="1" applyFont="1" applyBorder="1" applyAlignment="1">
      <alignment horizontal="right" vertical="center" wrapText="1"/>
    </xf>
    <xf numFmtId="169" fontId="10" fillId="0" borderId="1" xfId="0" applyNumberFormat="1" applyFont="1" applyBorder="1" applyAlignment="1">
      <alignment horizontal="right" vertical="center" wrapText="1"/>
    </xf>
    <xf numFmtId="169" fontId="9"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6" fillId="0" borderId="1" xfId="0" applyFont="1" applyBorder="1" applyAlignment="1">
      <alignment vertical="center" wrapText="1"/>
    </xf>
    <xf numFmtId="0" fontId="7" fillId="0" borderId="0" xfId="0" applyFont="1" applyAlignment="1">
      <alignment horizontal="center" vertical="center"/>
    </xf>
    <xf numFmtId="170" fontId="2" fillId="0" borderId="0" xfId="2" applyNumberFormat="1" applyFont="1" applyAlignment="1">
      <alignment horizontal="right" vertical="center"/>
    </xf>
    <xf numFmtId="170" fontId="2" fillId="0" borderId="0" xfId="2" applyNumberFormat="1" applyFont="1" applyAlignment="1">
      <alignment horizontal="center" vertical="center" wrapText="1"/>
    </xf>
    <xf numFmtId="170" fontId="3" fillId="0" borderId="0" xfId="2" applyNumberFormat="1" applyFont="1" applyAlignment="1">
      <alignment horizontal="right" vertical="center"/>
    </xf>
    <xf numFmtId="170" fontId="2" fillId="0" borderId="0" xfId="2" applyNumberFormat="1" applyFont="1" applyBorder="1" applyAlignment="1">
      <alignment horizontal="center" vertical="center" wrapText="1"/>
    </xf>
    <xf numFmtId="171" fontId="9" fillId="0" borderId="1" xfId="0" applyNumberFormat="1" applyFont="1" applyBorder="1" applyAlignment="1">
      <alignment vertical="center" wrapText="1"/>
    </xf>
    <xf numFmtId="172" fontId="9" fillId="0" borderId="1" xfId="0" applyNumberFormat="1" applyFont="1" applyBorder="1" applyAlignment="1">
      <alignment vertical="center" wrapText="1"/>
    </xf>
    <xf numFmtId="170" fontId="9" fillId="0" borderId="0" xfId="2" applyNumberFormat="1" applyFont="1" applyBorder="1" applyAlignment="1">
      <alignment vertical="center" wrapText="1"/>
    </xf>
    <xf numFmtId="167" fontId="9" fillId="0" borderId="1" xfId="0" applyNumberFormat="1" applyFont="1" applyBorder="1" applyAlignment="1">
      <alignment vertical="center" wrapText="1"/>
    </xf>
    <xf numFmtId="170" fontId="10" fillId="0" borderId="0" xfId="2" applyNumberFormat="1" applyFont="1" applyBorder="1" applyAlignment="1">
      <alignment vertical="center" wrapText="1"/>
    </xf>
    <xf numFmtId="171" fontId="9" fillId="0" borderId="1" xfId="0" applyNumberFormat="1" applyFont="1" applyBorder="1" applyAlignment="1">
      <alignment horizontal="right" vertical="center" wrapText="1"/>
    </xf>
    <xf numFmtId="171" fontId="8" fillId="0" borderId="0" xfId="0" applyNumberFormat="1" applyFont="1"/>
    <xf numFmtId="0" fontId="3" fillId="0" borderId="1" xfId="0" applyFont="1" applyBorder="1" applyAlignment="1">
      <alignment vertical="center" wrapText="1"/>
    </xf>
    <xf numFmtId="171" fontId="10" fillId="0" borderId="1" xfId="0" applyNumberFormat="1" applyFont="1" applyBorder="1" applyAlignment="1">
      <alignment vertical="center" wrapText="1"/>
    </xf>
    <xf numFmtId="172" fontId="10" fillId="0" borderId="1" xfId="0" applyNumberFormat="1" applyFont="1" applyBorder="1" applyAlignment="1">
      <alignment vertical="center" wrapText="1"/>
    </xf>
    <xf numFmtId="0" fontId="5" fillId="0" borderId="1" xfId="0" quotePrefix="1" applyFont="1" applyBorder="1" applyAlignment="1">
      <alignment horizontal="center" vertical="center" wrapText="1"/>
    </xf>
    <xf numFmtId="0" fontId="2" fillId="0" borderId="3" xfId="0" applyFont="1" applyBorder="1" applyAlignment="1">
      <alignment vertical="center" wrapText="1"/>
    </xf>
    <xf numFmtId="171" fontId="12" fillId="0" borderId="0" xfId="2" applyNumberFormat="1" applyFont="1"/>
    <xf numFmtId="171" fontId="9" fillId="0" borderId="3" xfId="0" applyNumberFormat="1" applyFont="1" applyBorder="1" applyAlignment="1">
      <alignment vertical="center" wrapText="1"/>
    </xf>
    <xf numFmtId="171" fontId="13" fillId="0" borderId="1" xfId="0" quotePrefix="1" applyNumberFormat="1" applyFont="1" applyBorder="1" applyAlignment="1">
      <alignment horizontal="right" vertical="center" wrapText="1"/>
    </xf>
    <xf numFmtId="3" fontId="10" fillId="0" borderId="1" xfId="0" applyNumberFormat="1" applyFont="1" applyBorder="1" applyAlignment="1">
      <alignment vertical="center" wrapText="1"/>
    </xf>
    <xf numFmtId="3" fontId="8" fillId="0" borderId="0" xfId="0" applyNumberFormat="1" applyFont="1"/>
    <xf numFmtId="170" fontId="7" fillId="0" borderId="0" xfId="2" applyNumberFormat="1" applyFont="1" applyBorder="1" applyAlignment="1">
      <alignment horizontal="left" vertical="center" wrapText="1"/>
    </xf>
    <xf numFmtId="170" fontId="8" fillId="0" borderId="0" xfId="2" applyNumberFormat="1" applyFont="1"/>
    <xf numFmtId="0" fontId="14" fillId="0" borderId="0" xfId="0" applyFont="1"/>
    <xf numFmtId="0" fontId="16" fillId="0" borderId="0" xfId="0" applyFont="1" applyAlignment="1">
      <alignment horizontal="right" vertical="center"/>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xf>
    <xf numFmtId="169" fontId="17" fillId="0" borderId="1" xfId="0" applyNumberFormat="1" applyFont="1" applyBorder="1" applyAlignment="1">
      <alignment horizontal="center" vertical="center" wrapText="1"/>
    </xf>
    <xf numFmtId="3" fontId="9" fillId="0" borderId="1" xfId="0" applyNumberFormat="1" applyFont="1" applyBorder="1" applyAlignment="1">
      <alignment horizontal="right" vertical="center" wrapText="1"/>
    </xf>
    <xf numFmtId="3" fontId="20" fillId="0" borderId="1" xfId="0" applyNumberFormat="1" applyFont="1" applyBorder="1" applyAlignment="1">
      <alignment horizontal="right" vertical="center" wrapText="1"/>
    </xf>
    <xf numFmtId="169" fontId="20" fillId="0" borderId="1" xfId="0" applyNumberFormat="1" applyFont="1" applyBorder="1" applyAlignment="1">
      <alignment horizontal="right" vertical="center" wrapText="1"/>
    </xf>
    <xf numFmtId="169" fontId="12" fillId="0" borderId="1" xfId="0" applyNumberFormat="1" applyFont="1" applyBorder="1" applyAlignment="1">
      <alignment horizontal="right" vertical="center"/>
    </xf>
    <xf numFmtId="3" fontId="0" fillId="0" borderId="0" xfId="0" applyNumberFormat="1"/>
    <xf numFmtId="0" fontId="10" fillId="0" borderId="1" xfId="0" applyFont="1" applyBorder="1" applyAlignment="1">
      <alignment horizontal="center" vertical="center" wrapText="1"/>
    </xf>
    <xf numFmtId="0" fontId="10" fillId="0" borderId="1" xfId="3" applyFont="1" applyBorder="1" applyAlignment="1">
      <alignment vertical="center" wrapText="1" readingOrder="1"/>
    </xf>
    <xf numFmtId="3" fontId="10" fillId="0" borderId="1" xfId="0" applyNumberFormat="1" applyFont="1" applyBorder="1" applyAlignment="1">
      <alignment horizontal="right" vertical="center" wrapText="1"/>
    </xf>
    <xf numFmtId="3" fontId="10" fillId="0" borderId="1" xfId="3" applyNumberFormat="1" applyFont="1" applyBorder="1" applyAlignment="1">
      <alignment horizontal="right" vertical="center" wrapText="1" readingOrder="1"/>
    </xf>
    <xf numFmtId="167" fontId="10" fillId="0" borderId="1" xfId="3" applyNumberFormat="1" applyFont="1" applyBorder="1" applyAlignment="1">
      <alignment horizontal="right" vertical="center" wrapText="1" readingOrder="1"/>
    </xf>
    <xf numFmtId="167" fontId="22" fillId="0" borderId="1" xfId="0" applyNumberFormat="1" applyFont="1" applyBorder="1" applyAlignment="1">
      <alignment vertical="center"/>
    </xf>
    <xf numFmtId="169" fontId="22" fillId="0" borderId="1" xfId="0" applyNumberFormat="1" applyFont="1" applyBorder="1" applyAlignment="1">
      <alignment horizontal="right" vertical="center" wrapText="1"/>
    </xf>
    <xf numFmtId="169" fontId="23" fillId="0" borderId="1" xfId="0" applyNumberFormat="1" applyFont="1" applyBorder="1" applyAlignment="1">
      <alignment horizontal="right" vertical="center"/>
    </xf>
    <xf numFmtId="169" fontId="22" fillId="0" borderId="1" xfId="0" applyNumberFormat="1" applyFont="1" applyBorder="1" applyAlignment="1">
      <alignment vertical="center"/>
    </xf>
    <xf numFmtId="171" fontId="10" fillId="0" borderId="1" xfId="3" applyNumberFormat="1" applyFont="1" applyBorder="1" applyAlignment="1">
      <alignment vertical="center" wrapText="1" readingOrder="1"/>
    </xf>
    <xf numFmtId="167" fontId="0" fillId="0" borderId="0" xfId="0" applyNumberFormat="1"/>
    <xf numFmtId="167" fontId="10" fillId="0" borderId="1" xfId="3" applyNumberFormat="1" applyFont="1" applyBorder="1" applyAlignment="1">
      <alignment vertical="center" wrapText="1" readingOrder="1"/>
    </xf>
    <xf numFmtId="0" fontId="14" fillId="0" borderId="1" xfId="0" applyFont="1" applyBorder="1" applyAlignment="1">
      <alignment horizontal="center" vertical="center" wrapText="1"/>
    </xf>
    <xf numFmtId="0" fontId="6" fillId="0" borderId="1" xfId="3" applyFont="1" applyBorder="1" applyAlignment="1">
      <alignment vertical="center" wrapText="1" readingOrder="1"/>
    </xf>
    <xf numFmtId="173" fontId="24" fillId="0" borderId="8" xfId="3" applyNumberFormat="1" applyFont="1" applyBorder="1" applyAlignment="1">
      <alignment horizontal="right" vertical="center" wrapText="1" readingOrder="1"/>
    </xf>
    <xf numFmtId="0" fontId="25" fillId="0" borderId="0" xfId="0" applyFont="1" applyAlignment="1">
      <alignment horizontal="left" vertical="center"/>
    </xf>
    <xf numFmtId="0" fontId="16"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left"/>
    </xf>
    <xf numFmtId="0" fontId="15" fillId="0" borderId="0" xfId="0" applyFont="1" applyAlignment="1">
      <alignment horizontal="right" vertical="center"/>
    </xf>
    <xf numFmtId="0" fontId="27" fillId="0" borderId="1" xfId="0" applyFont="1" applyBorder="1" applyAlignment="1">
      <alignment horizontal="center" vertical="center" wrapText="1"/>
    </xf>
    <xf numFmtId="167" fontId="28" fillId="0" borderId="1" xfId="0" applyNumberFormat="1" applyFont="1" applyBorder="1" applyAlignment="1">
      <alignment horizontal="right" vertical="center" wrapText="1"/>
    </xf>
    <xf numFmtId="3" fontId="28" fillId="0" borderId="1" xfId="0" applyNumberFormat="1" applyFont="1" applyBorder="1" applyAlignment="1">
      <alignment horizontal="right" vertical="center" wrapText="1"/>
    </xf>
    <xf numFmtId="0" fontId="29" fillId="0" borderId="0" xfId="0" applyFont="1"/>
    <xf numFmtId="0" fontId="10" fillId="0" borderId="8" xfId="3" applyFont="1" applyBorder="1" applyAlignment="1">
      <alignment vertical="center" wrapText="1" readingOrder="1"/>
    </xf>
    <xf numFmtId="167" fontId="24" fillId="0" borderId="8" xfId="3" applyNumberFormat="1" applyFont="1" applyBorder="1" applyAlignment="1">
      <alignment vertical="center" wrapText="1" readingOrder="1"/>
    </xf>
    <xf numFmtId="167" fontId="24" fillId="0" borderId="8" xfId="3" applyNumberFormat="1" applyFont="1" applyBorder="1" applyAlignment="1">
      <alignment horizontal="right" vertical="center" wrapText="1" readingOrder="1"/>
    </xf>
    <xf numFmtId="167" fontId="10" fillId="0" borderId="1" xfId="0" applyNumberFormat="1" applyFont="1" applyBorder="1" applyAlignment="1">
      <alignment horizontal="center" vertical="center" wrapText="1"/>
    </xf>
    <xf numFmtId="167" fontId="24" fillId="0" borderId="8" xfId="3" applyNumberFormat="1" applyFont="1" applyBorder="1" applyAlignment="1">
      <alignment vertical="top" wrapText="1" readingOrder="1"/>
    </xf>
    <xf numFmtId="167" fontId="24" fillId="0" borderId="1" xfId="0" applyNumberFormat="1" applyFont="1" applyBorder="1" applyAlignment="1">
      <alignment horizontal="right" vertical="center" wrapText="1"/>
    </xf>
    <xf numFmtId="0" fontId="10" fillId="0" borderId="7" xfId="0" applyFont="1" applyBorder="1" applyAlignment="1">
      <alignment horizontal="center" vertical="center" wrapText="1"/>
    </xf>
    <xf numFmtId="0" fontId="10" fillId="0" borderId="11" xfId="3" applyFont="1" applyBorder="1" applyAlignment="1">
      <alignment vertical="center" wrapText="1" readingOrder="1"/>
    </xf>
    <xf numFmtId="167" fontId="10" fillId="0" borderId="7" xfId="0" applyNumberFormat="1" applyFont="1" applyBorder="1" applyAlignment="1">
      <alignment horizontal="center" vertical="center" wrapText="1"/>
    </xf>
    <xf numFmtId="167" fontId="10" fillId="0" borderId="7" xfId="0" applyNumberFormat="1" applyFont="1" applyBorder="1" applyAlignment="1">
      <alignment horizontal="right" vertical="center" wrapText="1"/>
    </xf>
    <xf numFmtId="167" fontId="23" fillId="0" borderId="1" xfId="0" applyNumberFormat="1" applyFont="1" applyBorder="1" applyAlignment="1">
      <alignment vertical="center"/>
    </xf>
    <xf numFmtId="167" fontId="23" fillId="0" borderId="1" xfId="0" applyNumberFormat="1" applyFont="1" applyBorder="1" applyAlignment="1">
      <alignment horizontal="right" vertical="center"/>
    </xf>
    <xf numFmtId="0" fontId="23" fillId="0" borderId="1" xfId="0" applyFont="1" applyBorder="1" applyAlignment="1">
      <alignment vertical="center"/>
    </xf>
    <xf numFmtId="0" fontId="14" fillId="0" borderId="0" xfId="0" applyFont="1" applyAlignment="1">
      <alignment vertical="center"/>
    </xf>
    <xf numFmtId="0" fontId="4" fillId="0" borderId="0" xfId="0" applyFont="1" applyAlignment="1">
      <alignment horizontal="right" vertical="center"/>
    </xf>
    <xf numFmtId="0" fontId="11" fillId="0" borderId="0" xfId="0" applyFont="1" applyAlignment="1">
      <alignment horizontal="right" vertical="center"/>
    </xf>
    <xf numFmtId="167" fontId="4" fillId="0" borderId="1" xfId="0" applyNumberFormat="1" applyFont="1" applyBorder="1" applyAlignment="1">
      <alignment horizontal="center" vertical="center" wrapText="1"/>
    </xf>
    <xf numFmtId="167" fontId="20" fillId="0" borderId="1" xfId="0" applyNumberFormat="1" applyFont="1" applyBorder="1" applyAlignment="1">
      <alignment horizontal="right" vertical="center" wrapText="1"/>
    </xf>
    <xf numFmtId="171" fontId="20" fillId="0" borderId="1" xfId="0" applyNumberFormat="1" applyFont="1" applyBorder="1" applyAlignment="1">
      <alignment horizontal="right" vertical="center" wrapText="1"/>
    </xf>
    <xf numFmtId="167" fontId="22" fillId="0" borderId="1" xfId="0" applyNumberFormat="1" applyFont="1" applyBorder="1" applyAlignment="1">
      <alignment horizontal="right" vertical="center" wrapText="1"/>
    </xf>
    <xf numFmtId="0" fontId="22" fillId="0" borderId="1" xfId="0" applyFont="1" applyBorder="1" applyAlignment="1">
      <alignment horizontal="right" vertical="center" wrapText="1"/>
    </xf>
    <xf numFmtId="0" fontId="31" fillId="0" borderId="0" xfId="0" applyFont="1" applyAlignment="1">
      <alignment vertical="center"/>
    </xf>
    <xf numFmtId="173" fontId="6" fillId="0" borderId="1" xfId="3" applyNumberFormat="1" applyFont="1" applyBorder="1" applyAlignment="1">
      <alignment horizontal="right" vertical="center" wrapText="1" readingOrder="1"/>
    </xf>
    <xf numFmtId="173" fontId="6" fillId="0" borderId="0" xfId="3" applyNumberFormat="1" applyFont="1" applyAlignment="1">
      <alignment horizontal="right" vertical="center" wrapText="1" readingOrder="1"/>
    </xf>
    <xf numFmtId="0" fontId="32" fillId="0" borderId="0" xfId="0" applyFont="1" applyAlignment="1">
      <alignment vertical="center"/>
    </xf>
    <xf numFmtId="169" fontId="10" fillId="0" borderId="1" xfId="3" applyNumberFormat="1" applyFont="1" applyBorder="1" applyAlignment="1">
      <alignment horizontal="right" vertical="center" wrapText="1" readingOrder="1"/>
    </xf>
    <xf numFmtId="171" fontId="10" fillId="0" borderId="1" xfId="3" applyNumberFormat="1" applyFont="1" applyBorder="1" applyAlignment="1">
      <alignment horizontal="right" vertical="center" wrapText="1" readingOrder="1"/>
    </xf>
    <xf numFmtId="167" fontId="22" fillId="0" borderId="1" xfId="0" applyNumberFormat="1" applyFont="1" applyBorder="1" applyAlignment="1">
      <alignment horizontal="right" vertical="center"/>
    </xf>
    <xf numFmtId="0" fontId="33"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left" vertical="center"/>
    </xf>
    <xf numFmtId="0" fontId="9" fillId="0" borderId="1" xfId="0" applyFont="1" applyBorder="1" applyAlignment="1">
      <alignment horizontal="center" vertical="center" wrapText="1"/>
    </xf>
    <xf numFmtId="0" fontId="23" fillId="0" borderId="0" xfId="0" applyFont="1"/>
    <xf numFmtId="169"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172" fontId="4" fillId="0" borderId="1" xfId="0" applyNumberFormat="1" applyFont="1" applyBorder="1" applyAlignment="1">
      <alignment vertical="center" wrapText="1"/>
    </xf>
    <xf numFmtId="174" fontId="6" fillId="0" borderId="1" xfId="0" applyNumberFormat="1" applyFont="1" applyBorder="1" applyAlignment="1">
      <alignment vertical="center" wrapText="1"/>
    </xf>
    <xf numFmtId="0" fontId="9" fillId="0" borderId="8" xfId="3" applyFont="1" applyBorder="1" applyAlignment="1">
      <alignment vertical="center" wrapText="1" readingOrder="1"/>
    </xf>
    <xf numFmtId="0" fontId="22" fillId="0" borderId="13" xfId="4" applyFont="1" applyBorder="1" applyAlignment="1">
      <alignment vertical="center" wrapText="1"/>
    </xf>
    <xf numFmtId="171" fontId="4" fillId="0" borderId="1" xfId="0" applyNumberFormat="1" applyFont="1" applyBorder="1" applyAlignment="1">
      <alignment vertical="center" wrapText="1"/>
    </xf>
    <xf numFmtId="171" fontId="6" fillId="0" borderId="1" xfId="0" applyNumberFormat="1" applyFont="1" applyBorder="1" applyAlignment="1">
      <alignment vertical="center" wrapText="1"/>
    </xf>
    <xf numFmtId="0" fontId="22" fillId="0" borderId="13" xfId="4" applyFont="1" applyBorder="1" applyAlignment="1">
      <alignment horizontal="center" vertical="center" wrapText="1"/>
    </xf>
    <xf numFmtId="0" fontId="22" fillId="0" borderId="1" xfId="5" applyFont="1" applyBorder="1" applyAlignment="1">
      <alignment horizontal="center" vertical="center" wrapText="1"/>
    </xf>
    <xf numFmtId="171" fontId="10" fillId="0" borderId="1" xfId="0" applyNumberFormat="1" applyFont="1" applyBorder="1" applyAlignment="1">
      <alignment horizontal="right" vertical="center" wrapText="1"/>
    </xf>
    <xf numFmtId="0" fontId="22" fillId="0" borderId="1" xfId="6" applyFont="1" applyBorder="1" applyAlignment="1">
      <alignment horizontal="center" vertical="center" wrapText="1"/>
    </xf>
    <xf numFmtId="171" fontId="22" fillId="0" borderId="1" xfId="7" applyNumberFormat="1" applyFont="1" applyFill="1" applyBorder="1" applyAlignment="1">
      <alignment horizontal="right" vertical="center" wrapText="1"/>
    </xf>
    <xf numFmtId="171" fontId="36" fillId="0" borderId="1" xfId="0" applyNumberFormat="1" applyFont="1" applyBorder="1" applyAlignment="1">
      <alignment horizontal="right" vertical="center" wrapText="1"/>
    </xf>
    <xf numFmtId="0" fontId="22" fillId="0" borderId="1" xfId="8" applyFont="1" applyBorder="1" applyAlignment="1">
      <alignment horizontal="center" vertical="center" wrapText="1"/>
    </xf>
    <xf numFmtId="0" fontId="22" fillId="0" borderId="1" xfId="9" applyFont="1" applyBorder="1" applyAlignment="1">
      <alignment horizontal="center" vertical="center" wrapText="1"/>
    </xf>
    <xf numFmtId="0" fontId="22" fillId="0" borderId="1" xfId="10" applyFont="1" applyBorder="1" applyAlignment="1">
      <alignment horizontal="center" vertical="center" wrapText="1"/>
    </xf>
    <xf numFmtId="0" fontId="22" fillId="0" borderId="1" xfId="11" applyFont="1" applyBorder="1" applyAlignment="1">
      <alignment horizontal="center" vertical="center" wrapText="1"/>
    </xf>
    <xf numFmtId="171" fontId="9" fillId="0" borderId="1" xfId="1" applyNumberFormat="1" applyFont="1" applyBorder="1" applyAlignment="1">
      <alignment horizontal="right" vertical="center" wrapText="1"/>
    </xf>
    <xf numFmtId="171" fontId="10" fillId="0" borderId="1" xfId="1" applyNumberFormat="1" applyFont="1" applyBorder="1" applyAlignment="1">
      <alignment horizontal="right" vertical="center" wrapText="1"/>
    </xf>
    <xf numFmtId="0" fontId="22" fillId="0" borderId="1" xfId="12" applyFont="1" applyBorder="1" applyAlignment="1">
      <alignment horizontal="center" vertical="center" wrapText="1"/>
    </xf>
    <xf numFmtId="171" fontId="9" fillId="0" borderId="1" xfId="1" applyNumberFormat="1" applyFont="1" applyFill="1" applyBorder="1" applyAlignment="1">
      <alignment horizontal="right" vertical="center" wrapText="1"/>
    </xf>
    <xf numFmtId="171" fontId="22" fillId="0" borderId="1" xfId="1" applyNumberFormat="1" applyFont="1" applyFill="1" applyBorder="1" applyAlignment="1">
      <alignment horizontal="right" vertical="center" wrapText="1"/>
    </xf>
    <xf numFmtId="171" fontId="22" fillId="2" borderId="1" xfId="1" applyNumberFormat="1" applyFont="1" applyFill="1" applyBorder="1" applyAlignment="1">
      <alignment horizontal="right" vertical="center" wrapText="1"/>
    </xf>
    <xf numFmtId="0" fontId="22" fillId="0" borderId="1" xfId="13" applyFont="1" applyBorder="1" applyAlignment="1">
      <alignment horizontal="center" vertical="center" wrapText="1"/>
    </xf>
    <xf numFmtId="171" fontId="23" fillId="3" borderId="1" xfId="1" applyNumberFormat="1" applyFont="1" applyFill="1" applyBorder="1" applyAlignment="1">
      <alignment horizontal="right" vertical="center" wrapText="1"/>
    </xf>
    <xf numFmtId="0" fontId="22" fillId="0" borderId="1" xfId="14" applyFont="1" applyBorder="1" applyAlignment="1">
      <alignment horizontal="center" vertical="center" wrapText="1"/>
    </xf>
    <xf numFmtId="0" fontId="22" fillId="0" borderId="1" xfId="15" applyFont="1" applyBorder="1" applyAlignment="1">
      <alignment horizontal="center" vertical="center" wrapText="1"/>
    </xf>
    <xf numFmtId="0" fontId="22" fillId="0" borderId="1" xfId="16" applyFont="1" applyBorder="1" applyAlignment="1">
      <alignment horizontal="center" vertical="center" wrapText="1"/>
    </xf>
    <xf numFmtId="0" fontId="22" fillId="0" borderId="1" xfId="17" applyFont="1" applyBorder="1" applyAlignment="1">
      <alignment horizontal="center" vertical="center" wrapText="1"/>
    </xf>
    <xf numFmtId="0" fontId="22" fillId="0" borderId="1" xfId="18" applyFont="1" applyBorder="1" applyAlignment="1">
      <alignment horizontal="center" vertical="center" wrapText="1"/>
    </xf>
    <xf numFmtId="0" fontId="22" fillId="0" borderId="1" xfId="19" applyFont="1" applyBorder="1" applyAlignment="1">
      <alignment horizontal="center" vertical="center" wrapText="1"/>
    </xf>
    <xf numFmtId="0" fontId="22" fillId="0" borderId="1" xfId="20" applyFont="1" applyBorder="1" applyAlignment="1">
      <alignment horizontal="center" vertical="center" wrapText="1"/>
    </xf>
    <xf numFmtId="0" fontId="22" fillId="0" borderId="1" xfId="21" applyFont="1" applyBorder="1" applyAlignment="1">
      <alignment horizontal="center" vertical="center" wrapText="1"/>
    </xf>
    <xf numFmtId="0" fontId="22" fillId="0" borderId="1" xfId="22" applyFont="1" applyBorder="1" applyAlignment="1">
      <alignment horizontal="center" vertical="center" wrapText="1"/>
    </xf>
    <xf numFmtId="0" fontId="22" fillId="2" borderId="13" xfId="4" applyFont="1" applyFill="1" applyBorder="1" applyAlignment="1">
      <alignment horizontal="center" vertical="center" wrapText="1"/>
    </xf>
    <xf numFmtId="171" fontId="23" fillId="3" borderId="1" xfId="23" applyNumberFormat="1" applyFont="1" applyFill="1" applyBorder="1" applyAlignment="1">
      <alignment horizontal="right" vertical="center"/>
    </xf>
    <xf numFmtId="171" fontId="22" fillId="3" borderId="1" xfId="23" applyNumberFormat="1" applyFont="1" applyFill="1" applyBorder="1" applyAlignment="1">
      <alignment horizontal="right" vertical="center" wrapText="1"/>
    </xf>
    <xf numFmtId="171" fontId="38" fillId="3" borderId="1" xfId="23" applyNumberFormat="1" applyFont="1" applyFill="1" applyBorder="1" applyAlignment="1">
      <alignment horizontal="right" vertical="center"/>
    </xf>
    <xf numFmtId="171" fontId="39" fillId="3" borderId="1" xfId="23" applyNumberFormat="1" applyFont="1" applyFill="1" applyBorder="1" applyAlignment="1">
      <alignment horizontal="right" vertical="center" wrapText="1"/>
    </xf>
    <xf numFmtId="0" fontId="6" fillId="0" borderId="8" xfId="3" applyFont="1" applyBorder="1" applyAlignment="1">
      <alignment vertical="center" wrapText="1" readingOrder="1"/>
    </xf>
    <xf numFmtId="0" fontId="22" fillId="0" borderId="1" xfId="24" applyFont="1" applyBorder="1" applyAlignment="1">
      <alignment horizontal="center" vertical="center" wrapText="1"/>
    </xf>
    <xf numFmtId="171" fontId="10" fillId="0" borderId="1" xfId="1" applyNumberFormat="1" applyFont="1" applyFill="1" applyBorder="1" applyAlignment="1">
      <alignment horizontal="right" vertical="center" wrapText="1"/>
    </xf>
    <xf numFmtId="171" fontId="40" fillId="0" borderId="1" xfId="0" applyNumberFormat="1" applyFont="1" applyBorder="1" applyAlignment="1">
      <alignment horizontal="right" vertical="center" wrapText="1"/>
    </xf>
    <xf numFmtId="0" fontId="22" fillId="0" borderId="1" xfId="25" applyFont="1" applyBorder="1" applyAlignment="1">
      <alignment horizontal="center" vertical="center" wrapText="1"/>
    </xf>
    <xf numFmtId="171" fontId="22" fillId="0" borderId="1" xfId="1" applyNumberFormat="1" applyFont="1" applyFill="1" applyBorder="1" applyAlignment="1">
      <alignment horizontal="right" vertical="center"/>
    </xf>
    <xf numFmtId="0" fontId="22" fillId="0" borderId="1" xfId="26" applyFont="1" applyBorder="1" applyAlignment="1">
      <alignment horizontal="center" vertical="center" wrapText="1"/>
    </xf>
    <xf numFmtId="0" fontId="22" fillId="0" borderId="1" xfId="27" applyFont="1" applyBorder="1" applyAlignment="1">
      <alignment horizontal="center" vertical="center" wrapText="1"/>
    </xf>
    <xf numFmtId="0" fontId="22" fillId="0" borderId="1" xfId="28" applyFont="1" applyBorder="1" applyAlignment="1">
      <alignment horizontal="center" vertical="center" wrapText="1"/>
    </xf>
    <xf numFmtId="0" fontId="22" fillId="0" borderId="1" xfId="0" applyFont="1" applyBorder="1" applyAlignment="1">
      <alignment horizontal="center" vertical="center" wrapText="1"/>
    </xf>
    <xf numFmtId="171" fontId="22" fillId="0" borderId="1" xfId="29" applyNumberFormat="1" applyFont="1" applyBorder="1" applyAlignment="1">
      <alignment horizontal="right" vertical="center"/>
    </xf>
    <xf numFmtId="171" fontId="22" fillId="0" borderId="1" xfId="30" applyNumberFormat="1" applyFont="1" applyBorder="1" applyAlignment="1">
      <alignment horizontal="right" vertical="center" wrapText="1"/>
    </xf>
    <xf numFmtId="0" fontId="6" fillId="0" borderId="11" xfId="3" applyFont="1" applyBorder="1" applyAlignment="1">
      <alignment vertical="center" wrapText="1" readingOrder="1"/>
    </xf>
    <xf numFmtId="0" fontId="22" fillId="3" borderId="1" xfId="0" applyFont="1" applyFill="1" applyBorder="1" applyAlignment="1">
      <alignment horizontal="center" vertical="center" wrapText="1"/>
    </xf>
    <xf numFmtId="171" fontId="22" fillId="3" borderId="1" xfId="1" applyNumberFormat="1" applyFont="1" applyFill="1" applyBorder="1" applyAlignment="1">
      <alignment horizontal="right" vertical="center" wrapText="1"/>
    </xf>
    <xf numFmtId="171" fontId="22" fillId="0" borderId="1" xfId="0" applyNumberFormat="1" applyFont="1" applyBorder="1" applyAlignment="1">
      <alignment horizontal="right" vertical="center" wrapText="1"/>
    </xf>
    <xf numFmtId="0" fontId="20" fillId="0" borderId="13" xfId="4" applyFont="1" applyBorder="1" applyAlignment="1">
      <alignment vertical="center" wrapText="1"/>
    </xf>
    <xf numFmtId="0" fontId="42" fillId="0" borderId="1" xfId="0" applyFont="1" applyBorder="1" applyAlignment="1">
      <alignment vertical="center" wrapText="1"/>
    </xf>
    <xf numFmtId="171" fontId="23" fillId="0" borderId="1" xfId="29" applyNumberFormat="1" applyFont="1" applyBorder="1" applyAlignment="1">
      <alignment horizontal="right" vertical="center"/>
    </xf>
    <xf numFmtId="171" fontId="23" fillId="0" borderId="1" xfId="23" applyNumberFormat="1" applyFont="1" applyFill="1" applyBorder="1" applyAlignment="1">
      <alignment horizontal="right" vertical="center"/>
    </xf>
    <xf numFmtId="171" fontId="8" fillId="0" borderId="1" xfId="29" applyNumberFormat="1" applyFont="1" applyBorder="1" applyAlignment="1">
      <alignment horizontal="right" vertical="center"/>
    </xf>
    <xf numFmtId="171" fontId="8" fillId="0" borderId="1" xfId="23" applyNumberFormat="1" applyFont="1" applyFill="1" applyBorder="1" applyAlignment="1">
      <alignment horizontal="right" vertical="center"/>
    </xf>
    <xf numFmtId="171" fontId="10" fillId="0" borderId="1" xfId="2" applyNumberFormat="1" applyFont="1" applyFill="1" applyBorder="1" applyAlignment="1">
      <alignment horizontal="right" vertical="center" wrapText="1"/>
    </xf>
    <xf numFmtId="0" fontId="6" fillId="0" borderId="0" xfId="3" applyFont="1" applyAlignment="1">
      <alignment vertical="center" wrapText="1" readingOrder="1"/>
    </xf>
    <xf numFmtId="0" fontId="4" fillId="0" borderId="1" xfId="3" applyFont="1" applyBorder="1" applyAlignment="1">
      <alignment vertical="center" wrapText="1" readingOrder="1"/>
    </xf>
    <xf numFmtId="0" fontId="23" fillId="0" borderId="1" xfId="0" applyFont="1" applyBorder="1" applyAlignment="1">
      <alignment horizontal="center" vertical="center" wrapText="1"/>
    </xf>
    <xf numFmtId="0" fontId="46" fillId="0" borderId="0" xfId="31" applyFont="1"/>
    <xf numFmtId="0" fontId="46" fillId="0" borderId="0" xfId="31" applyFont="1" applyAlignment="1">
      <alignment horizontal="left"/>
    </xf>
    <xf numFmtId="0" fontId="47" fillId="0" borderId="0" xfId="31" applyFont="1"/>
    <xf numFmtId="0" fontId="30" fillId="0" borderId="0" xfId="0" applyFont="1" applyAlignment="1">
      <alignment horizontal="right"/>
    </xf>
    <xf numFmtId="0" fontId="48" fillId="0" borderId="0" xfId="31" applyFont="1"/>
    <xf numFmtId="0" fontId="49" fillId="0" borderId="0" xfId="31" applyFont="1" applyAlignment="1">
      <alignment horizontal="left"/>
    </xf>
    <xf numFmtId="0" fontId="50" fillId="0" borderId="0" xfId="31" applyFont="1"/>
    <xf numFmtId="0" fontId="45" fillId="0" borderId="0" xfId="31"/>
    <xf numFmtId="0" fontId="53" fillId="0" borderId="0" xfId="31" applyFont="1" applyAlignment="1">
      <alignment horizontal="center" vertical="center"/>
    </xf>
    <xf numFmtId="0" fontId="16" fillId="0" borderId="0" xfId="31" applyFont="1" applyAlignment="1">
      <alignment horizontal="right" vertical="center"/>
    </xf>
    <xf numFmtId="0" fontId="54" fillId="0" borderId="1" xfId="31" applyFont="1" applyBorder="1" applyAlignment="1">
      <alignment horizontal="center" vertical="center" wrapText="1"/>
    </xf>
    <xf numFmtId="0" fontId="48" fillId="0" borderId="0" xfId="31" applyFont="1" applyAlignment="1">
      <alignment horizontal="left" vertical="center"/>
    </xf>
    <xf numFmtId="0" fontId="48" fillId="0" borderId="1" xfId="31" applyFont="1" applyBorder="1" applyAlignment="1">
      <alignment horizontal="center" vertical="center" wrapText="1"/>
    </xf>
    <xf numFmtId="0" fontId="56" fillId="0" borderId="1" xfId="31" applyFont="1" applyBorder="1" applyAlignment="1">
      <alignment horizontal="left" vertical="center" wrapText="1"/>
    </xf>
    <xf numFmtId="0" fontId="57" fillId="0" borderId="1" xfId="31" applyFont="1" applyBorder="1" applyAlignment="1">
      <alignment horizontal="right" vertical="center" wrapText="1"/>
    </xf>
    <xf numFmtId="0" fontId="57" fillId="0" borderId="1" xfId="31" applyFont="1" applyBorder="1" applyAlignment="1">
      <alignment horizontal="center" vertical="center" wrapText="1"/>
    </xf>
    <xf numFmtId="175" fontId="54" fillId="0" borderId="1" xfId="31" applyNumberFormat="1" applyFont="1" applyBorder="1" applyAlignment="1">
      <alignment horizontal="center" vertical="center" wrapText="1"/>
    </xf>
    <xf numFmtId="0" fontId="58" fillId="0" borderId="0" xfId="31" applyFont="1" applyAlignment="1">
      <alignment horizontal="right"/>
    </xf>
    <xf numFmtId="0" fontId="59" fillId="0" borderId="14" xfId="31" applyFont="1" applyBorder="1" applyAlignment="1">
      <alignment horizontal="center" vertical="center"/>
    </xf>
    <xf numFmtId="0" fontId="48" fillId="0" borderId="15" xfId="32" applyFont="1" applyBorder="1" applyAlignment="1">
      <alignment vertical="center" wrapText="1"/>
    </xf>
    <xf numFmtId="175" fontId="42" fillId="0" borderId="14" xfId="31" applyNumberFormat="1" applyFont="1" applyBorder="1" applyAlignment="1">
      <alignment horizontal="right" vertical="center" wrapText="1"/>
    </xf>
    <xf numFmtId="176" fontId="56" fillId="0" borderId="1" xfId="31" applyNumberFormat="1" applyFont="1" applyBorder="1" applyAlignment="1">
      <alignment horizontal="left" vertical="center" wrapText="1"/>
    </xf>
    <xf numFmtId="176" fontId="48" fillId="0" borderId="0" xfId="31" applyNumberFormat="1" applyFont="1" applyAlignment="1">
      <alignment horizontal="left" vertical="center"/>
    </xf>
    <xf numFmtId="0" fontId="59" fillId="0" borderId="16" xfId="31" applyFont="1" applyBorder="1" applyAlignment="1">
      <alignment horizontal="center" vertical="center"/>
    </xf>
    <xf numFmtId="0" fontId="48" fillId="0" borderId="17" xfId="32" applyFont="1" applyBorder="1" applyAlignment="1">
      <alignment vertical="center" wrapText="1"/>
    </xf>
    <xf numFmtId="175" fontId="42" fillId="0" borderId="16" xfId="31" applyNumberFormat="1" applyFont="1" applyBorder="1" applyAlignment="1">
      <alignment horizontal="right" vertical="center" wrapText="1"/>
    </xf>
    <xf numFmtId="175" fontId="18" fillId="0" borderId="16" xfId="33" applyNumberFormat="1" applyFont="1" applyFill="1" applyBorder="1" applyAlignment="1">
      <alignment horizontal="right" vertical="center" wrapText="1"/>
    </xf>
    <xf numFmtId="176" fontId="60" fillId="0" borderId="1" xfId="31" applyNumberFormat="1" applyFont="1" applyBorder="1" applyAlignment="1">
      <alignment horizontal="left" vertical="center" wrapText="1"/>
    </xf>
    <xf numFmtId="176" fontId="31" fillId="0" borderId="0" xfId="31" applyNumberFormat="1" applyFont="1" applyAlignment="1">
      <alignment horizontal="left" vertical="center"/>
    </xf>
    <xf numFmtId="0" fontId="61" fillId="0" borderId="0" xfId="31" applyFont="1"/>
    <xf numFmtId="175" fontId="42" fillId="0" borderId="16" xfId="31" applyNumberFormat="1" applyFont="1" applyBorder="1" applyAlignment="1">
      <alignment horizontal="center" vertical="center" wrapText="1"/>
    </xf>
    <xf numFmtId="3" fontId="59" fillId="0" borderId="0" xfId="31" applyNumberFormat="1" applyFont="1" applyAlignment="1">
      <alignment horizontal="left" vertical="center"/>
    </xf>
    <xf numFmtId="0" fontId="62" fillId="0" borderId="0" xfId="31" applyFont="1"/>
    <xf numFmtId="0" fontId="59" fillId="0" borderId="18" xfId="31" applyFont="1" applyBorder="1" applyAlignment="1">
      <alignment horizontal="center" vertical="center"/>
    </xf>
    <xf numFmtId="0" fontId="48" fillId="0" borderId="18" xfId="32" applyFont="1" applyBorder="1" applyAlignment="1">
      <alignment vertical="center" wrapText="1"/>
    </xf>
    <xf numFmtId="175" fontId="42" fillId="4" borderId="18" xfId="33" applyNumberFormat="1" applyFont="1" applyFill="1" applyBorder="1" applyAlignment="1">
      <alignment horizontal="right" vertical="center" wrapText="1"/>
    </xf>
    <xf numFmtId="175" fontId="42" fillId="0" borderId="18" xfId="31" applyNumberFormat="1" applyFont="1" applyBorder="1" applyAlignment="1">
      <alignment horizontal="right" vertical="center" wrapText="1"/>
    </xf>
    <xf numFmtId="176" fontId="56" fillId="0" borderId="0" xfId="31" applyNumberFormat="1" applyFont="1" applyAlignment="1">
      <alignment horizontal="left" vertical="center" wrapText="1"/>
    </xf>
    <xf numFmtId="0" fontId="63" fillId="0" borderId="0" xfId="31" applyFont="1"/>
    <xf numFmtId="0" fontId="56" fillId="0" borderId="0" xfId="31" applyFont="1" applyAlignment="1">
      <alignment horizontal="left" vertical="center" wrapText="1"/>
    </xf>
    <xf numFmtId="0" fontId="64" fillId="0" borderId="0" xfId="31" applyFont="1"/>
    <xf numFmtId="0" fontId="64" fillId="0" borderId="0" xfId="31" quotePrefix="1" applyFont="1"/>
    <xf numFmtId="0" fontId="67" fillId="0" borderId="0" xfId="0" applyFont="1"/>
    <xf numFmtId="4" fontId="2" fillId="0" borderId="1" xfId="0" applyNumberFormat="1" applyFont="1" applyBorder="1" applyAlignment="1">
      <alignment vertical="center" wrapText="1"/>
    </xf>
    <xf numFmtId="9" fontId="69" fillId="0" borderId="1" xfId="35" applyNumberFormat="1" applyFont="1" applyBorder="1"/>
    <xf numFmtId="4" fontId="5" fillId="0" borderId="1" xfId="0" applyNumberFormat="1" applyFont="1" applyBorder="1" applyAlignment="1">
      <alignment vertical="center" wrapText="1"/>
    </xf>
    <xf numFmtId="0" fontId="8" fillId="0" borderId="1" xfId="35" quotePrefix="1" applyFont="1" applyBorder="1" applyAlignment="1">
      <alignment horizontal="left" vertical="center"/>
    </xf>
    <xf numFmtId="4" fontId="69" fillId="0" borderId="1" xfId="2" applyNumberFormat="1" applyFont="1" applyBorder="1" applyAlignment="1"/>
    <xf numFmtId="4" fontId="69" fillId="0" borderId="1" xfId="35" applyNumberFormat="1" applyFont="1" applyBorder="1"/>
    <xf numFmtId="177" fontId="69" fillId="0" borderId="1" xfId="35" applyNumberFormat="1" applyFont="1" applyBorder="1" applyAlignment="1">
      <alignment horizontal="left" vertical="center"/>
    </xf>
    <xf numFmtId="0" fontId="7" fillId="0" borderId="0" xfId="0" applyFont="1" applyAlignment="1">
      <alignment horizontal="right" vertical="center"/>
    </xf>
    <xf numFmtId="0" fontId="7" fillId="0" borderId="2" xfId="0" applyFont="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left" vertical="center" wrapText="1"/>
    </xf>
    <xf numFmtId="0" fontId="19" fillId="0" borderId="4" xfId="0" applyFont="1" applyBorder="1" applyAlignment="1">
      <alignment horizontal="center" wrapText="1"/>
    </xf>
    <xf numFmtId="0" fontId="19" fillId="0" borderId="6" xfId="0" applyFont="1" applyBorder="1" applyAlignment="1">
      <alignment horizont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0" fillId="0" borderId="0" xfId="0" applyAlignment="1">
      <alignment horizontal="center"/>
    </xf>
    <xf numFmtId="0" fontId="17"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9" fillId="0" borderId="1"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66" fillId="0" borderId="0" xfId="34" applyFont="1" applyAlignment="1">
      <alignment horizontal="center" vertical="center" wrapText="1"/>
    </xf>
    <xf numFmtId="0" fontId="57" fillId="0" borderId="0" xfId="34" applyFont="1" applyAlignment="1">
      <alignment horizontal="center" vertical="center" wrapText="1"/>
    </xf>
    <xf numFmtId="0" fontId="54" fillId="0" borderId="1" xfId="31" applyFont="1" applyBorder="1" applyAlignment="1">
      <alignment horizontal="center" vertical="center" wrapText="1"/>
    </xf>
    <xf numFmtId="0" fontId="54" fillId="0" borderId="9" xfId="31" applyFont="1" applyBorder="1" applyAlignment="1">
      <alignment horizontal="center" vertical="center" wrapText="1"/>
    </xf>
    <xf numFmtId="0" fontId="54" fillId="0" borderId="10" xfId="31" applyFont="1" applyBorder="1" applyAlignment="1">
      <alignment horizontal="center" vertical="center" wrapText="1"/>
    </xf>
    <xf numFmtId="0" fontId="46" fillId="0" borderId="0" xfId="31" applyFont="1" applyAlignment="1">
      <alignment horizontal="left"/>
    </xf>
    <xf numFmtId="0" fontId="51" fillId="0" borderId="0" xfId="31" applyFont="1" applyAlignment="1">
      <alignment horizontal="center" vertical="center"/>
    </xf>
    <xf numFmtId="0" fontId="53" fillId="0" borderId="0" xfId="31" applyFont="1" applyAlignment="1">
      <alignment horizontal="center" vertical="center" wrapText="1"/>
    </xf>
    <xf numFmtId="0" fontId="54" fillId="0" borderId="7" xfId="31" applyFont="1" applyBorder="1" applyAlignment="1">
      <alignment horizontal="center" vertical="center" wrapText="1"/>
    </xf>
    <xf numFmtId="0" fontId="54" fillId="0" borderId="12" xfId="31" applyFont="1" applyBorder="1" applyAlignment="1">
      <alignment horizontal="center" vertical="center" wrapText="1"/>
    </xf>
    <xf numFmtId="0" fontId="54" fillId="0" borderId="3" xfId="31" applyFont="1" applyBorder="1" applyAlignment="1">
      <alignment horizontal="center" vertical="center" wrapText="1"/>
    </xf>
    <xf numFmtId="0" fontId="55" fillId="0" borderId="1" xfId="31" applyFont="1" applyBorder="1" applyAlignment="1">
      <alignment horizontal="center" vertical="center" wrapText="1"/>
    </xf>
    <xf numFmtId="0" fontId="11" fillId="0" borderId="0" xfId="0" applyFont="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36">
    <cellStyle name="Bình thường" xfId="0" builtinId="0"/>
    <cellStyle name="Bình thường 2" xfId="32" xr:uid="{DDC00666-0AAF-4713-92C6-7743D7FDC0FD}"/>
    <cellStyle name="Bình thường 2 2" xfId="30" xr:uid="{12FDF9D7-CFAA-466A-9E27-E72A5AB902DE}"/>
    <cellStyle name="Bình thường 3" xfId="35" xr:uid="{CF449215-A08E-4912-9895-6D343D45F207}"/>
    <cellStyle name="Comma 10 2" xfId="23" xr:uid="{71635FA0-132C-4D5A-AA4B-B9362E1CBF3D}"/>
    <cellStyle name="Comma 2" xfId="33" xr:uid="{FF640A3D-1FB9-4EE2-B749-5D6EF3500A84}"/>
    <cellStyle name="Chuẩn 11" xfId="10" xr:uid="{932C31BF-512B-4C1D-A73D-57B23415FF99}"/>
    <cellStyle name="Chuẩn 17" xfId="12" xr:uid="{FA172ADD-DC3F-4E5E-921E-5E4D90F1D762}"/>
    <cellStyle name="Chuẩn 19" xfId="13" xr:uid="{AF574A55-9F81-4764-83BF-E7097C91884C}"/>
    <cellStyle name="Chuẩn 2" xfId="5" xr:uid="{EEDEE2E2-A960-4067-9A0C-8D16EE71249C}"/>
    <cellStyle name="Chuẩn 20" xfId="14" xr:uid="{948B7ADC-0FB9-4AE7-BF07-B0F403385B68}"/>
    <cellStyle name="Chuẩn 22" xfId="15" xr:uid="{00D328B1-83D3-41C0-8C31-DEA51062CCEC}"/>
    <cellStyle name="Chuẩn 24" xfId="16" xr:uid="{EDF1ACBF-EB34-4972-A3FC-83EB163B2311}"/>
    <cellStyle name="Chuẩn 26" xfId="17" xr:uid="{C2F968FB-5A5B-4145-934A-1C6B0A1180D3}"/>
    <cellStyle name="Chuẩn 28" xfId="18" xr:uid="{16B0AD79-59A2-449E-B179-ADC1E66F9361}"/>
    <cellStyle name="Chuẩn 30" xfId="19" xr:uid="{C3D374B5-4A71-4A6A-958B-9BAEB2348E14}"/>
    <cellStyle name="Chuẩn 32" xfId="20" xr:uid="{1A5A50A5-7D5C-47A7-8E48-8B71C78F9482}"/>
    <cellStyle name="Chuẩn 34" xfId="21" xr:uid="{275B8812-7DD3-4052-9856-A92EED859AAC}"/>
    <cellStyle name="Chuẩn 36" xfId="22" xr:uid="{3F16A013-5874-4A35-B837-B53FDEC74F18}"/>
    <cellStyle name="Chuẩn 38" xfId="24" xr:uid="{C998160E-6C44-4407-B597-8A62BD0FE3A2}"/>
    <cellStyle name="Chuẩn 4" xfId="6" xr:uid="{D54FE37D-5295-48BD-9E71-14D3F9DBD97D}"/>
    <cellStyle name="Chuẩn 41" xfId="25" xr:uid="{9D02D3FE-79AA-4B7B-B023-7AEF15B2002B}"/>
    <cellStyle name="Chuẩn 43" xfId="26" xr:uid="{24C4482A-C449-40D2-B9AA-C72938EEAA5B}"/>
    <cellStyle name="Chuẩn 45" xfId="27" xr:uid="{DA28E1E0-A551-44AA-98C5-9ED9D5CA6429}"/>
    <cellStyle name="Chuẩn 47" xfId="28" xr:uid="{0290F524-AEDE-4C38-A37B-CEF4C50F1B4D}"/>
    <cellStyle name="Chuẩn 5" xfId="8" xr:uid="{99AFA531-FD95-452F-B69F-BFB502EC241C}"/>
    <cellStyle name="Chuẩn 7" xfId="9" xr:uid="{CC363EE9-9982-45CB-961A-E0AB27ED36C0}"/>
    <cellStyle name="Chuẩn 9" xfId="11" xr:uid="{2D935451-9FBA-4443-8C82-0B66E9B8B491}"/>
    <cellStyle name="Dấu phảy 10" xfId="7" xr:uid="{322E9295-778E-4D42-86D3-A0164BD1A45F}"/>
    <cellStyle name="Dấu phẩy" xfId="1" builtinId="3"/>
    <cellStyle name="Dấu phẩy [0]" xfId="2" builtinId="6"/>
    <cellStyle name="Normal" xfId="3" xr:uid="{FBF7FBE2-F16A-4992-963B-13785F986DE8}"/>
    <cellStyle name="Normal 2" xfId="4" xr:uid="{B307123A-1497-44DF-8508-04C1C477E106}"/>
    <cellStyle name="Normal 3 5" xfId="34" xr:uid="{9C13EF22-A822-476E-AC7D-809924D2E2A3}"/>
    <cellStyle name="Normal 5" xfId="31" xr:uid="{D0407E67-E47D-4054-8280-E913AF260F21}"/>
    <cellStyle name="Normal_Bieu mau (CV )" xfId="29" xr:uid="{F70E7707-81E2-49A6-B648-77DD2ADAC6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esktop/T3.%20Bieu%20mau%20QT%202025_Kh&#7889;i%20x&#227;,%20ph&#432;&#7901;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C/Documents/Zalo%20Received%20Files/Bieu%20mau%20nghi%20dinh%2031-cp%20(h&#7885;p%20H&#272;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mau "/>
      <sheetName val="MS 01"/>
      <sheetName val="MS 02"/>
      <sheetName val="MS 03"/>
      <sheetName val="MS 04"/>
      <sheetName val="MS 05"/>
      <sheetName val="MS 06"/>
      <sheetName val="MS 07"/>
      <sheetName val="MS 08_khối tỉnh"/>
      <sheetName val="60"/>
      <sheetName val="61"/>
      <sheetName val="62"/>
      <sheetName val="63"/>
      <sheetName val="64"/>
      <sheetName val="65"/>
      <sheetName val="66"/>
      <sheetName val="67"/>
      <sheetName val="68"/>
      <sheetName val="69"/>
      <sheetName val="70"/>
    </sheetNames>
    <sheetDataSet>
      <sheetData sheetId="0" refreshError="1"/>
      <sheetData sheetId="1" refreshError="1"/>
      <sheetData sheetId="2" refreshError="1"/>
      <sheetData sheetId="3" refreshError="1"/>
      <sheetData sheetId="4" refreshError="1"/>
      <sheetData sheetId="5" refreshError="1">
        <row r="13">
          <cell r="K13">
            <v>3356535.5040000002</v>
          </cell>
          <cell r="AB13">
            <v>9854117.2060000002</v>
          </cell>
        </row>
        <row r="14">
          <cell r="K14">
            <v>505535.50400000002</v>
          </cell>
          <cell r="AC14">
            <v>2434767.0240000002</v>
          </cell>
        </row>
      </sheetData>
      <sheetData sheetId="6" refreshError="1"/>
      <sheetData sheetId="7" refreshError="1"/>
      <sheetData sheetId="8" refreshError="1"/>
      <sheetData sheetId="9" refreshError="1"/>
      <sheetData sheetId="10" refreshError="1"/>
      <sheetData sheetId="11" refreshError="1">
        <row r="11">
          <cell r="C11">
            <v>21648288.666999999</v>
          </cell>
        </row>
        <row r="22">
          <cell r="K22">
            <v>12197066.219999999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 tong hop"/>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Thoa"/>
      <sheetName val="56"/>
      <sheetName val="57"/>
      <sheetName val="58"/>
      <sheetName val="59"/>
      <sheetName val="60"/>
      <sheetName val="61"/>
      <sheetName val="62"/>
      <sheetName val="63"/>
      <sheetName val="6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9">
          <cell r="C9">
            <v>21648288.666999999</v>
          </cell>
          <cell r="D9">
            <v>18364016.785</v>
          </cell>
        </row>
      </sheetData>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41EC6-13DB-4C8B-BDE6-CB536428313D}">
  <dimension ref="A1:F63"/>
  <sheetViews>
    <sheetView tabSelected="1" topLeftCell="A30" workbookViewId="0">
      <selection activeCell="D42" sqref="D42"/>
    </sheetView>
  </sheetViews>
  <sheetFormatPr defaultRowHeight="18" x14ac:dyDescent="0.35"/>
  <cols>
    <col min="1" max="1" width="5.6328125" customWidth="1"/>
    <col min="2" max="2" width="44.54296875" customWidth="1"/>
    <col min="3" max="3" width="12.90625" customWidth="1"/>
    <col min="4" max="4" width="14.90625" customWidth="1"/>
    <col min="5" max="5" width="14" customWidth="1"/>
    <col min="6" max="6" width="11.36328125" customWidth="1"/>
  </cols>
  <sheetData>
    <row r="1" spans="1:6" x14ac:dyDescent="0.35">
      <c r="F1" s="240" t="s">
        <v>446</v>
      </c>
    </row>
    <row r="2" spans="1:6" ht="23.25" customHeight="1" x14ac:dyDescent="0.35">
      <c r="A2" s="243" t="s">
        <v>0</v>
      </c>
      <c r="B2" s="243"/>
      <c r="C2" s="243"/>
      <c r="D2" s="243"/>
      <c r="E2" s="243"/>
      <c r="F2" s="243"/>
    </row>
    <row r="3" spans="1:6" x14ac:dyDescent="0.35">
      <c r="A3" s="244" t="s">
        <v>234</v>
      </c>
      <c r="B3" s="244"/>
      <c r="C3" s="244"/>
      <c r="D3" s="244"/>
      <c r="E3" s="244"/>
      <c r="F3" s="244"/>
    </row>
    <row r="4" spans="1:6" x14ac:dyDescent="0.35">
      <c r="A4" s="245"/>
      <c r="B4" s="245"/>
      <c r="C4" s="245"/>
      <c r="D4" s="245"/>
      <c r="E4" s="245"/>
      <c r="F4" s="245"/>
    </row>
    <row r="5" spans="1:6" x14ac:dyDescent="0.35">
      <c r="F5" s="2" t="s">
        <v>2</v>
      </c>
    </row>
    <row r="6" spans="1:6" x14ac:dyDescent="0.35">
      <c r="A6" s="246" t="s">
        <v>3</v>
      </c>
      <c r="B6" s="246" t="s">
        <v>4</v>
      </c>
      <c r="C6" s="247" t="s">
        <v>5</v>
      </c>
      <c r="D6" s="247" t="s">
        <v>6</v>
      </c>
      <c r="E6" s="247" t="s">
        <v>7</v>
      </c>
      <c r="F6" s="247"/>
    </row>
    <row r="7" spans="1:6" x14ac:dyDescent="0.35">
      <c r="A7" s="246"/>
      <c r="B7" s="246"/>
      <c r="C7" s="247"/>
      <c r="D7" s="247"/>
      <c r="E7" s="4" t="s">
        <v>8</v>
      </c>
      <c r="F7" s="4" t="s">
        <v>9</v>
      </c>
    </row>
    <row r="8" spans="1:6" x14ac:dyDescent="0.35">
      <c r="A8" s="5" t="s">
        <v>10</v>
      </c>
      <c r="B8" s="5" t="s">
        <v>11</v>
      </c>
      <c r="C8" s="6">
        <v>1</v>
      </c>
      <c r="D8" s="6">
        <v>2</v>
      </c>
      <c r="E8" s="6" t="s">
        <v>12</v>
      </c>
      <c r="F8" s="6" t="s">
        <v>13</v>
      </c>
    </row>
    <row r="9" spans="1:6" ht="23.4" customHeight="1" x14ac:dyDescent="0.35">
      <c r="A9" s="3" t="s">
        <v>10</v>
      </c>
      <c r="B9" s="7" t="s">
        <v>14</v>
      </c>
      <c r="C9" s="8">
        <f>C10+C13+C16+C17+C18</f>
        <v>126909994.83399999</v>
      </c>
      <c r="D9" s="8">
        <f>D10+D13+D16+D17+D18</f>
        <v>126925244.83399999</v>
      </c>
      <c r="E9" s="8">
        <f>E10+E13+E16+E17+E18</f>
        <v>15250</v>
      </c>
      <c r="F9" s="9">
        <f>D9/C9*100</f>
        <v>100.01201639005654</v>
      </c>
    </row>
    <row r="10" spans="1:6" ht="23.4" customHeight="1" x14ac:dyDescent="0.35">
      <c r="A10" s="3" t="s">
        <v>15</v>
      </c>
      <c r="B10" s="7" t="s">
        <v>16</v>
      </c>
      <c r="C10" s="8">
        <f>SUM(C11:C12)</f>
        <v>0</v>
      </c>
      <c r="D10" s="8">
        <f>SUM(D11:D12)</f>
        <v>15250</v>
      </c>
      <c r="E10" s="8">
        <f>SUM(E11:E12)</f>
        <v>15250</v>
      </c>
      <c r="F10" s="9"/>
    </row>
    <row r="11" spans="1:6" ht="23.4" customHeight="1" x14ac:dyDescent="0.35">
      <c r="A11" s="5" t="s">
        <v>17</v>
      </c>
      <c r="B11" s="10" t="s">
        <v>18</v>
      </c>
      <c r="C11" s="11"/>
      <c r="D11" s="11">
        <v>0</v>
      </c>
      <c r="E11" s="11">
        <f>D11-C11</f>
        <v>0</v>
      </c>
      <c r="F11" s="9"/>
    </row>
    <row r="12" spans="1:6" ht="23.4" customHeight="1" x14ac:dyDescent="0.35">
      <c r="A12" s="5" t="s">
        <v>17</v>
      </c>
      <c r="B12" s="10" t="s">
        <v>19</v>
      </c>
      <c r="C12" s="12"/>
      <c r="D12" s="12">
        <f>7250+8000</f>
        <v>15250</v>
      </c>
      <c r="E12" s="12">
        <f>D12-C12</f>
        <v>15250</v>
      </c>
      <c r="F12" s="9"/>
    </row>
    <row r="13" spans="1:6" ht="23.4" customHeight="1" x14ac:dyDescent="0.35">
      <c r="A13" s="3" t="s">
        <v>20</v>
      </c>
      <c r="B13" s="7" t="s">
        <v>21</v>
      </c>
      <c r="C13" s="8">
        <f>SUM(C14:C15)</f>
        <v>122685909.15099999</v>
      </c>
      <c r="D13" s="8">
        <f>SUM(D14:D15)</f>
        <v>122685909.15099999</v>
      </c>
      <c r="E13" s="8">
        <f>SUM(E14:E15)</f>
        <v>0</v>
      </c>
      <c r="F13" s="9">
        <f t="shared" ref="F13:F30" si="0">D13/C13*100</f>
        <v>100</v>
      </c>
    </row>
    <row r="14" spans="1:6" ht="23.4" customHeight="1" x14ac:dyDescent="0.35">
      <c r="A14" s="5">
        <v>1</v>
      </c>
      <c r="B14" s="10" t="s">
        <v>22</v>
      </c>
      <c r="C14" s="11">
        <v>74623000</v>
      </c>
      <c r="D14" s="11">
        <v>74623000</v>
      </c>
      <c r="E14" s="11">
        <f>D14-C14</f>
        <v>0</v>
      </c>
      <c r="F14" s="9">
        <f t="shared" si="0"/>
        <v>100</v>
      </c>
    </row>
    <row r="15" spans="1:6" ht="23.4" customHeight="1" x14ac:dyDescent="0.35">
      <c r="A15" s="5">
        <v>2</v>
      </c>
      <c r="B15" s="10" t="s">
        <v>23</v>
      </c>
      <c r="C15" s="11">
        <v>48062909.151000001</v>
      </c>
      <c r="D15" s="11">
        <v>48062909.151000001</v>
      </c>
      <c r="E15" s="11">
        <f>D15-C15</f>
        <v>0</v>
      </c>
      <c r="F15" s="9">
        <f t="shared" si="0"/>
        <v>100</v>
      </c>
    </row>
    <row r="16" spans="1:6" ht="23.4" customHeight="1" x14ac:dyDescent="0.35">
      <c r="A16" s="3" t="s">
        <v>24</v>
      </c>
      <c r="B16" s="7" t="s">
        <v>25</v>
      </c>
      <c r="C16" s="11"/>
      <c r="D16" s="11"/>
      <c r="E16" s="11"/>
      <c r="F16" s="9"/>
    </row>
    <row r="17" spans="1:6" ht="23.4" customHeight="1" x14ac:dyDescent="0.35">
      <c r="A17" s="3" t="s">
        <v>26</v>
      </c>
      <c r="B17" s="7" t="s">
        <v>27</v>
      </c>
      <c r="C17" s="8">
        <v>378565.23</v>
      </c>
      <c r="D17" s="8">
        <v>378565.23</v>
      </c>
      <c r="E17" s="8">
        <f>D17-C17</f>
        <v>0</v>
      </c>
      <c r="F17" s="9">
        <f t="shared" si="0"/>
        <v>100</v>
      </c>
    </row>
    <row r="18" spans="1:6" ht="23.4" customHeight="1" x14ac:dyDescent="0.35">
      <c r="A18" s="3" t="s">
        <v>28</v>
      </c>
      <c r="B18" s="7" t="s">
        <v>29</v>
      </c>
      <c r="C18" s="8">
        <v>3845520.4530000002</v>
      </c>
      <c r="D18" s="8">
        <v>3845520.4530000002</v>
      </c>
      <c r="E18" s="8">
        <f>D18-C18</f>
        <v>0</v>
      </c>
      <c r="F18" s="9">
        <f t="shared" si="0"/>
        <v>100</v>
      </c>
    </row>
    <row r="19" spans="1:6" ht="23.4" customHeight="1" x14ac:dyDescent="0.35">
      <c r="A19" s="3" t="s">
        <v>11</v>
      </c>
      <c r="B19" s="7" t="s">
        <v>30</v>
      </c>
      <c r="C19" s="8">
        <f>C20+C27+C32+C33</f>
        <v>126909994.83400001</v>
      </c>
      <c r="D19" s="8">
        <f t="shared" ref="D19:E19" si="1">D20+D27+D32+D33</f>
        <v>124396922.083</v>
      </c>
      <c r="E19" s="8">
        <f t="shared" si="1"/>
        <v>13040528.972999997</v>
      </c>
      <c r="F19" s="9">
        <f t="shared" si="0"/>
        <v>98.019799185803194</v>
      </c>
    </row>
    <row r="20" spans="1:6" ht="23.4" customHeight="1" x14ac:dyDescent="0.35">
      <c r="A20" s="3" t="s">
        <v>15</v>
      </c>
      <c r="B20" s="7" t="s">
        <v>31</v>
      </c>
      <c r="C20" s="8">
        <f>C21+C22+C23+C24+C25+C26</f>
        <v>111356393.11</v>
      </c>
      <c r="D20" s="8">
        <f t="shared" ref="D20:E20" si="2">D21+D22+D23+D24+D25+D26</f>
        <v>101562004.564</v>
      </c>
      <c r="E20" s="8">
        <f t="shared" si="2"/>
        <v>-9794388.5460000038</v>
      </c>
      <c r="F20" s="9">
        <f t="shared" si="0"/>
        <v>91.204466782320324</v>
      </c>
    </row>
    <row r="21" spans="1:6" ht="23.4" customHeight="1" x14ac:dyDescent="0.35">
      <c r="A21" s="5">
        <v>1</v>
      </c>
      <c r="B21" s="10" t="s">
        <v>32</v>
      </c>
      <c r="C21" s="11">
        <v>9451222.4470000006</v>
      </c>
      <c r="D21" s="11">
        <v>8509899.5789999999</v>
      </c>
      <c r="E21" s="11">
        <f>D21-C21</f>
        <v>-941322.86800000072</v>
      </c>
      <c r="F21" s="9">
        <f t="shared" si="0"/>
        <v>90.040199844213859</v>
      </c>
    </row>
    <row r="22" spans="1:6" ht="23.4" customHeight="1" x14ac:dyDescent="0.35">
      <c r="A22" s="5">
        <v>2</v>
      </c>
      <c r="B22" s="10" t="s">
        <v>33</v>
      </c>
      <c r="C22" s="11">
        <f>101905170.663</f>
        <v>101905170.663</v>
      </c>
      <c r="D22" s="11">
        <f>93074249.539-22144.554</f>
        <v>93052104.984999999</v>
      </c>
      <c r="E22" s="11">
        <f>D22-C22</f>
        <v>-8853065.6780000031</v>
      </c>
      <c r="F22" s="9">
        <f t="shared" si="0"/>
        <v>91.312447032469962</v>
      </c>
    </row>
    <row r="23" spans="1:6" ht="35.4" customHeight="1" x14ac:dyDescent="0.35">
      <c r="A23" s="5">
        <v>3</v>
      </c>
      <c r="B23" s="10" t="s">
        <v>34</v>
      </c>
      <c r="C23" s="11"/>
      <c r="D23" s="11"/>
      <c r="E23" s="11"/>
      <c r="F23" s="9"/>
    </row>
    <row r="24" spans="1:6" ht="23.4" customHeight="1" x14ac:dyDescent="0.35">
      <c r="A24" s="5">
        <v>4</v>
      </c>
      <c r="B24" s="10" t="s">
        <v>35</v>
      </c>
      <c r="C24" s="11"/>
      <c r="D24" s="11"/>
      <c r="E24" s="11"/>
      <c r="F24" s="9"/>
    </row>
    <row r="25" spans="1:6" ht="23.4" customHeight="1" x14ac:dyDescent="0.35">
      <c r="A25" s="5">
        <v>5</v>
      </c>
      <c r="B25" s="10" t="s">
        <v>36</v>
      </c>
      <c r="C25" s="11"/>
      <c r="D25" s="11"/>
      <c r="E25" s="11"/>
      <c r="F25" s="9"/>
    </row>
    <row r="26" spans="1:6" ht="23.4" customHeight="1" x14ac:dyDescent="0.35">
      <c r="A26" s="5">
        <v>6</v>
      </c>
      <c r="B26" s="10" t="s">
        <v>37</v>
      </c>
      <c r="C26" s="11"/>
      <c r="D26" s="11"/>
      <c r="E26" s="11"/>
      <c r="F26" s="9"/>
    </row>
    <row r="27" spans="1:6" ht="23.4" customHeight="1" x14ac:dyDescent="0.35">
      <c r="A27" s="3" t="s">
        <v>20</v>
      </c>
      <c r="B27" s="7" t="s">
        <v>38</v>
      </c>
      <c r="C27" s="8">
        <f>C28+C31</f>
        <v>15553601.724000001</v>
      </c>
      <c r="D27" s="8">
        <f t="shared" ref="D27:E27" si="3">D28+D31</f>
        <v>12288884.23</v>
      </c>
      <c r="E27" s="8">
        <f t="shared" si="3"/>
        <v>12288884.23</v>
      </c>
      <c r="F27" s="9">
        <f t="shared" si="0"/>
        <v>79.009893965830585</v>
      </c>
    </row>
    <row r="28" spans="1:6" ht="23.4" customHeight="1" x14ac:dyDescent="0.35">
      <c r="A28" s="5">
        <v>1</v>
      </c>
      <c r="B28" s="10" t="s">
        <v>39</v>
      </c>
      <c r="C28" s="11">
        <f>C29+C30</f>
        <v>15553601.724000001</v>
      </c>
      <c r="D28" s="11">
        <f>D29+D30</f>
        <v>12288884.23</v>
      </c>
      <c r="E28" s="11">
        <f>E29+E30</f>
        <v>12288884.23</v>
      </c>
      <c r="F28" s="9">
        <f t="shared" si="0"/>
        <v>79.009893965830585</v>
      </c>
    </row>
    <row r="29" spans="1:6" ht="23.4" customHeight="1" x14ac:dyDescent="0.35">
      <c r="A29" s="5"/>
      <c r="B29" s="13" t="s">
        <v>40</v>
      </c>
      <c r="C29" s="11">
        <v>12197066.220000001</v>
      </c>
      <c r="D29" s="11">
        <v>9854117.2060000002</v>
      </c>
      <c r="E29" s="11">
        <v>9854117.2060000002</v>
      </c>
      <c r="F29" s="9">
        <f t="shared" si="0"/>
        <v>80.790880595874953</v>
      </c>
    </row>
    <row r="30" spans="1:6" ht="23.4" customHeight="1" x14ac:dyDescent="0.35">
      <c r="A30" s="5"/>
      <c r="B30" s="13" t="s">
        <v>41</v>
      </c>
      <c r="C30" s="11">
        <v>3356535.5040000002</v>
      </c>
      <c r="D30" s="11">
        <v>2434767.0240000002</v>
      </c>
      <c r="E30" s="11">
        <v>2434767.0240000002</v>
      </c>
      <c r="F30" s="9">
        <f t="shared" si="0"/>
        <v>72.538098318890903</v>
      </c>
    </row>
    <row r="31" spans="1:6" ht="23.4" customHeight="1" x14ac:dyDescent="0.35">
      <c r="A31" s="5">
        <v>2</v>
      </c>
      <c r="B31" s="10" t="s">
        <v>42</v>
      </c>
      <c r="C31" s="11"/>
      <c r="D31" s="11"/>
      <c r="E31" s="11"/>
      <c r="F31" s="9"/>
    </row>
    <row r="32" spans="1:6" ht="23.4" customHeight="1" x14ac:dyDescent="0.35">
      <c r="A32" s="3" t="s">
        <v>24</v>
      </c>
      <c r="B32" s="7" t="s">
        <v>43</v>
      </c>
      <c r="C32" s="8"/>
      <c r="D32" s="8">
        <f>6931107.264+2946176.468-26481.46</f>
        <v>9850802.2719999999</v>
      </c>
      <c r="E32" s="8">
        <f>6931107.264+2946176.468-26481.46</f>
        <v>9850802.2719999999</v>
      </c>
      <c r="F32" s="9"/>
    </row>
    <row r="33" spans="1:6" ht="23.4" customHeight="1" x14ac:dyDescent="0.35">
      <c r="A33" s="3" t="s">
        <v>26</v>
      </c>
      <c r="B33" s="7" t="s">
        <v>44</v>
      </c>
      <c r="C33" s="8"/>
      <c r="D33" s="8">
        <v>695231.01699999999</v>
      </c>
      <c r="E33" s="8">
        <v>695231.01699999999</v>
      </c>
      <c r="F33" s="9"/>
    </row>
    <row r="34" spans="1:6" ht="30.6" customHeight="1" x14ac:dyDescent="0.35">
      <c r="A34" s="3" t="s">
        <v>45</v>
      </c>
      <c r="B34" s="7" t="s">
        <v>46</v>
      </c>
      <c r="C34" s="8"/>
      <c r="D34" s="8"/>
      <c r="E34" s="8"/>
      <c r="F34" s="9"/>
    </row>
    <row r="35" spans="1:6" ht="23.4" customHeight="1" x14ac:dyDescent="0.35">
      <c r="A35" s="3" t="s">
        <v>47</v>
      </c>
      <c r="B35" s="7" t="s">
        <v>48</v>
      </c>
      <c r="C35" s="11"/>
      <c r="D35" s="11"/>
      <c r="E35" s="14"/>
      <c r="F35" s="9"/>
    </row>
    <row r="36" spans="1:6" ht="23.4" customHeight="1" x14ac:dyDescent="0.35">
      <c r="A36" s="3" t="s">
        <v>15</v>
      </c>
      <c r="B36" s="7" t="s">
        <v>49</v>
      </c>
      <c r="C36" s="11"/>
      <c r="D36" s="11"/>
      <c r="E36" s="14"/>
      <c r="F36" s="9"/>
    </row>
    <row r="37" spans="1:6" ht="33.6" customHeight="1" x14ac:dyDescent="0.35">
      <c r="A37" s="3" t="s">
        <v>20</v>
      </c>
      <c r="B37" s="7" t="s">
        <v>50</v>
      </c>
      <c r="C37" s="11"/>
      <c r="D37" s="11"/>
      <c r="E37" s="14"/>
      <c r="F37" s="9"/>
    </row>
    <row r="38" spans="1:6" ht="23.4" customHeight="1" x14ac:dyDescent="0.35">
      <c r="A38" s="3" t="s">
        <v>51</v>
      </c>
      <c r="B38" s="7" t="s">
        <v>52</v>
      </c>
      <c r="C38" s="11"/>
      <c r="D38" s="11"/>
      <c r="E38" s="14"/>
      <c r="F38" s="9"/>
    </row>
    <row r="39" spans="1:6" ht="23.4" customHeight="1" x14ac:dyDescent="0.35">
      <c r="A39" s="3" t="s">
        <v>15</v>
      </c>
      <c r="B39" s="7" t="s">
        <v>53</v>
      </c>
      <c r="C39" s="11"/>
      <c r="D39" s="11"/>
      <c r="E39" s="14"/>
      <c r="F39" s="9"/>
    </row>
    <row r="40" spans="1:6" ht="23.4" customHeight="1" x14ac:dyDescent="0.35">
      <c r="A40" s="3" t="s">
        <v>20</v>
      </c>
      <c r="B40" s="7" t="s">
        <v>54</v>
      </c>
      <c r="C40" s="11"/>
      <c r="D40" s="11"/>
      <c r="E40" s="14"/>
      <c r="F40" s="9"/>
    </row>
    <row r="41" spans="1:6" ht="33.6" customHeight="1" x14ac:dyDescent="0.35">
      <c r="A41" s="3" t="s">
        <v>55</v>
      </c>
      <c r="B41" s="7" t="s">
        <v>56</v>
      </c>
      <c r="C41" s="11"/>
      <c r="D41" s="11"/>
      <c r="E41" s="14"/>
      <c r="F41" s="9"/>
    </row>
    <row r="42" spans="1:6" ht="33.6" customHeight="1" x14ac:dyDescent="0.35">
      <c r="A42" s="3" t="s">
        <v>57</v>
      </c>
      <c r="B42" s="7" t="s">
        <v>58</v>
      </c>
      <c r="C42" s="15"/>
      <c r="D42" s="15">
        <f>D9-D19</f>
        <v>2528322.7509999871</v>
      </c>
      <c r="E42" s="15"/>
      <c r="F42" s="7"/>
    </row>
    <row r="43" spans="1:6" ht="60" customHeight="1" x14ac:dyDescent="0.35">
      <c r="A43" s="241" t="s">
        <v>59</v>
      </c>
      <c r="B43" s="241"/>
      <c r="C43" s="241"/>
      <c r="D43" s="241"/>
      <c r="E43" s="241"/>
      <c r="F43" s="241"/>
    </row>
    <row r="44" spans="1:6" s="16" customFormat="1" ht="13.8" x14ac:dyDescent="0.25">
      <c r="C44" s="242"/>
      <c r="D44" s="242"/>
      <c r="E44" s="242"/>
      <c r="F44" s="242"/>
    </row>
    <row r="45" spans="1:6" s="16" customFormat="1" ht="13.8" x14ac:dyDescent="0.25"/>
    <row r="46" spans="1:6" s="16" customFormat="1" ht="13.8" x14ac:dyDescent="0.25"/>
    <row r="47" spans="1:6" s="16" customFormat="1" ht="13.8" x14ac:dyDescent="0.25"/>
    <row r="48" spans="1:6" s="16" customFormat="1" ht="13.8" x14ac:dyDescent="0.25"/>
    <row r="49" s="16" customFormat="1" ht="13.8" x14ac:dyDescent="0.25"/>
    <row r="50" s="16" customFormat="1" ht="13.8" x14ac:dyDescent="0.25"/>
    <row r="51" s="16" customFormat="1" ht="13.8" x14ac:dyDescent="0.25"/>
    <row r="52" s="16" customFormat="1" ht="13.8" x14ac:dyDescent="0.25"/>
    <row r="53" s="16" customFormat="1" ht="13.8" x14ac:dyDescent="0.25"/>
    <row r="54" s="16" customFormat="1" ht="13.8" x14ac:dyDescent="0.25"/>
    <row r="55" s="16" customFormat="1" ht="13.8" x14ac:dyDescent="0.25"/>
    <row r="56" s="16" customFormat="1" ht="13.8" x14ac:dyDescent="0.25"/>
    <row r="57" s="16" customFormat="1" ht="13.8" x14ac:dyDescent="0.25"/>
    <row r="58" s="16" customFormat="1" ht="13.8" x14ac:dyDescent="0.25"/>
    <row r="59" s="16" customFormat="1" ht="13.8" x14ac:dyDescent="0.25"/>
    <row r="60" s="16" customFormat="1" ht="13.8" x14ac:dyDescent="0.25"/>
    <row r="61" s="16" customFormat="1" ht="13.8" x14ac:dyDescent="0.25"/>
    <row r="62" s="16" customFormat="1" ht="13.8" x14ac:dyDescent="0.25"/>
    <row r="63" s="16" customFormat="1" ht="13.8" x14ac:dyDescent="0.25"/>
  </sheetData>
  <mergeCells count="10">
    <mergeCell ref="A43:F43"/>
    <mergeCell ref="C44:F44"/>
    <mergeCell ref="A2:F2"/>
    <mergeCell ref="A3:F3"/>
    <mergeCell ref="A4:F4"/>
    <mergeCell ref="A6:A7"/>
    <mergeCell ref="B6:B7"/>
    <mergeCell ref="C6:C7"/>
    <mergeCell ref="D6:D7"/>
    <mergeCell ref="E6:F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1ED9-FFB6-4DA6-9CC2-D446FA136430}">
  <dimension ref="A1:H61"/>
  <sheetViews>
    <sheetView topLeftCell="A41" workbookViewId="0">
      <selection activeCell="C55" sqref="C55"/>
    </sheetView>
  </sheetViews>
  <sheetFormatPr defaultRowHeight="18" x14ac:dyDescent="0.35"/>
  <cols>
    <col min="1" max="1" width="6" style="18" customWidth="1"/>
    <col min="2" max="2" width="39.90625" customWidth="1"/>
    <col min="3" max="3" width="12.90625" customWidth="1"/>
    <col min="4" max="4" width="13.90625" customWidth="1"/>
    <col min="5" max="5" width="13.36328125" customWidth="1"/>
    <col min="6" max="6" width="13.1796875" customWidth="1"/>
    <col min="7" max="7" width="9.90625" customWidth="1"/>
    <col min="8" max="8" width="8.1796875" customWidth="1"/>
  </cols>
  <sheetData>
    <row r="1" spans="1:8" x14ac:dyDescent="0.35">
      <c r="G1" s="249" t="s">
        <v>447</v>
      </c>
      <c r="H1" s="249"/>
    </row>
    <row r="2" spans="1:8" x14ac:dyDescent="0.35">
      <c r="A2" s="243" t="s">
        <v>60</v>
      </c>
      <c r="B2" s="243"/>
      <c r="C2" s="243"/>
      <c r="D2" s="243"/>
      <c r="E2" s="243"/>
      <c r="F2" s="243"/>
      <c r="G2" s="243"/>
      <c r="H2" s="243"/>
    </row>
    <row r="3" spans="1:8" x14ac:dyDescent="0.35">
      <c r="A3" s="250" t="str">
        <f>'Biểu cân đối'!A3:F3</f>
        <v>(Kèm theo Quyết định số 244/QĐ-UBND ngày 10 tháng 4 năm 2026 của UBND xã Thanh Thịnh)</v>
      </c>
      <c r="B3" s="250"/>
      <c r="C3" s="250"/>
      <c r="D3" s="250"/>
      <c r="E3" s="250"/>
      <c r="F3" s="250"/>
      <c r="G3" s="250"/>
      <c r="H3" s="250"/>
    </row>
    <row r="4" spans="1:8" x14ac:dyDescent="0.35">
      <c r="A4" s="250"/>
      <c r="B4" s="250"/>
      <c r="C4" s="250"/>
      <c r="D4" s="250"/>
      <c r="E4" s="250"/>
      <c r="F4" s="250"/>
      <c r="G4" s="250"/>
      <c r="H4" s="250"/>
    </row>
    <row r="5" spans="1:8" x14ac:dyDescent="0.35">
      <c r="H5" s="2" t="s">
        <v>2</v>
      </c>
    </row>
    <row r="6" spans="1:8" x14ac:dyDescent="0.35">
      <c r="A6" s="247" t="s">
        <v>3</v>
      </c>
      <c r="B6" s="247" t="s">
        <v>61</v>
      </c>
      <c r="C6" s="247" t="s">
        <v>5</v>
      </c>
      <c r="D6" s="247"/>
      <c r="E6" s="247" t="s">
        <v>6</v>
      </c>
      <c r="F6" s="247"/>
      <c r="G6" s="247" t="s">
        <v>62</v>
      </c>
      <c r="H6" s="247"/>
    </row>
    <row r="7" spans="1:8" ht="32.4" customHeight="1" x14ac:dyDescent="0.35">
      <c r="A7" s="247"/>
      <c r="B7" s="247"/>
      <c r="C7" s="4" t="s">
        <v>63</v>
      </c>
      <c r="D7" s="4" t="s">
        <v>64</v>
      </c>
      <c r="E7" s="4" t="s">
        <v>63</v>
      </c>
      <c r="F7" s="4" t="s">
        <v>64</v>
      </c>
      <c r="G7" s="4" t="s">
        <v>63</v>
      </c>
      <c r="H7" s="4" t="s">
        <v>64</v>
      </c>
    </row>
    <row r="8" spans="1:8" x14ac:dyDescent="0.35">
      <c r="A8" s="4" t="s">
        <v>10</v>
      </c>
      <c r="B8" s="4" t="s">
        <v>11</v>
      </c>
      <c r="C8" s="4">
        <v>1</v>
      </c>
      <c r="D8" s="4">
        <v>2</v>
      </c>
      <c r="E8" s="4">
        <v>3</v>
      </c>
      <c r="F8" s="4">
        <v>4</v>
      </c>
      <c r="G8" s="4" t="s">
        <v>65</v>
      </c>
      <c r="H8" s="4" t="s">
        <v>66</v>
      </c>
    </row>
    <row r="9" spans="1:8" ht="21.6" customHeight="1" x14ac:dyDescent="0.35">
      <c r="A9" s="4"/>
      <c r="B9" s="19" t="s">
        <v>67</v>
      </c>
      <c r="C9" s="20">
        <f>C10+C52+C54+C55+C53</f>
        <v>132649994.83399999</v>
      </c>
      <c r="D9" s="20">
        <f>D10+D52+D54+D55+D53</f>
        <v>126909994.83399999</v>
      </c>
      <c r="E9" s="20">
        <f t="shared" ref="E9" si="0">E10+E52+E54+E55+E53</f>
        <v>138564586.25599998</v>
      </c>
      <c r="F9" s="20">
        <f>F10+F52+F54+F55+F53</f>
        <v>126925244.83399999</v>
      </c>
      <c r="G9" s="21">
        <f>E9/C9*100</f>
        <v>104.45879506395879</v>
      </c>
      <c r="H9" s="21">
        <f>F9/D9*100</f>
        <v>100.01201639005654</v>
      </c>
    </row>
    <row r="10" spans="1:8" ht="21.6" customHeight="1" x14ac:dyDescent="0.35">
      <c r="A10" s="4" t="s">
        <v>10</v>
      </c>
      <c r="B10" s="19" t="s">
        <v>68</v>
      </c>
      <c r="C10" s="20">
        <f>C11+C42+C43+C50+C51</f>
        <v>5740000</v>
      </c>
      <c r="D10" s="20">
        <f t="shared" ref="D10:F10" si="1">D11+D42+D43+D50+D51</f>
        <v>0</v>
      </c>
      <c r="E10" s="20">
        <f>E11+E42+E43+E50+E51</f>
        <v>11654591.422000002</v>
      </c>
      <c r="F10" s="20">
        <f t="shared" si="1"/>
        <v>15250</v>
      </c>
      <c r="G10" s="21">
        <f t="shared" ref="G10:G11" si="2">E10/C10*100</f>
        <v>203.04166240418121</v>
      </c>
      <c r="H10" s="21"/>
    </row>
    <row r="11" spans="1:8" ht="21.6" customHeight="1" x14ac:dyDescent="0.35">
      <c r="A11" s="4" t="s">
        <v>15</v>
      </c>
      <c r="B11" s="19" t="s">
        <v>69</v>
      </c>
      <c r="C11" s="20">
        <f>C12+C14+C15+C16+C20+C21+C24+C25+C30+C31+C32+C33+C34+C35+C36+C37+C38+C39+C40+C41</f>
        <v>5740000</v>
      </c>
      <c r="D11" s="20">
        <f t="shared" ref="D11:F11" si="3">D12+D14+D15+D16+D20+D21+D24+D25+D30+D31+D32+D33+D34+D35+D36+D37+D38+D39+D40+D41</f>
        <v>0</v>
      </c>
      <c r="E11" s="20">
        <f>E12+E14+E15+E16+E20+E21+E24+E25+E30+E31+E32+E33+E34+E35+E36+E37+E38+E39+E40+E41</f>
        <v>7654591.4220000012</v>
      </c>
      <c r="F11" s="20">
        <f t="shared" si="3"/>
        <v>15250</v>
      </c>
      <c r="G11" s="21">
        <f t="shared" si="2"/>
        <v>133.35525125435541</v>
      </c>
      <c r="H11" s="21"/>
    </row>
    <row r="12" spans="1:8" ht="21.6" customHeight="1" x14ac:dyDescent="0.35">
      <c r="A12" s="4">
        <v>1</v>
      </c>
      <c r="B12" s="19" t="s">
        <v>70</v>
      </c>
      <c r="C12" s="22">
        <f>C13</f>
        <v>0</v>
      </c>
      <c r="D12" s="22">
        <f t="shared" ref="D12:F12" si="4">D13</f>
        <v>0</v>
      </c>
      <c r="E12" s="22">
        <f t="shared" si="4"/>
        <v>94957.498000000007</v>
      </c>
      <c r="F12" s="22">
        <f t="shared" si="4"/>
        <v>0</v>
      </c>
      <c r="G12" s="21"/>
      <c r="H12" s="21"/>
    </row>
    <row r="13" spans="1:8" ht="21.6" customHeight="1" x14ac:dyDescent="0.35">
      <c r="A13" s="6"/>
      <c r="B13" s="23" t="s">
        <v>71</v>
      </c>
      <c r="C13" s="24">
        <v>0</v>
      </c>
      <c r="D13" s="24"/>
      <c r="E13" s="24">
        <v>94957.498000000007</v>
      </c>
      <c r="F13" s="24"/>
      <c r="G13" s="25"/>
      <c r="H13" s="21"/>
    </row>
    <row r="14" spans="1:8" ht="21.6" customHeight="1" x14ac:dyDescent="0.35">
      <c r="A14" s="4">
        <v>2</v>
      </c>
      <c r="B14" s="19" t="s">
        <v>72</v>
      </c>
      <c r="C14" s="22"/>
      <c r="D14" s="22"/>
      <c r="E14" s="22"/>
      <c r="F14" s="22"/>
      <c r="G14" s="21"/>
      <c r="H14" s="21"/>
    </row>
    <row r="15" spans="1:8" ht="23.4" customHeight="1" x14ac:dyDescent="0.35">
      <c r="A15" s="4">
        <v>3</v>
      </c>
      <c r="B15" s="19" t="s">
        <v>73</v>
      </c>
      <c r="C15" s="22"/>
      <c r="D15" s="22"/>
      <c r="E15" s="22"/>
      <c r="F15" s="22"/>
      <c r="G15" s="21"/>
      <c r="H15" s="21"/>
    </row>
    <row r="16" spans="1:8" ht="21.6" customHeight="1" x14ac:dyDescent="0.35">
      <c r="A16" s="4">
        <v>4</v>
      </c>
      <c r="B16" s="19" t="s">
        <v>74</v>
      </c>
      <c r="C16" s="20">
        <f>SUM(C17:C19)</f>
        <v>662000</v>
      </c>
      <c r="D16" s="22">
        <f t="shared" ref="D16:F16" si="5">SUM(D17:D19)</f>
        <v>0</v>
      </c>
      <c r="E16" s="22">
        <f t="shared" si="5"/>
        <v>2155420.4109999998</v>
      </c>
      <c r="F16" s="22">
        <f t="shared" si="5"/>
        <v>0</v>
      </c>
      <c r="G16" s="21">
        <f>E16/C16*100</f>
        <v>325.59220709969787</v>
      </c>
      <c r="H16" s="21"/>
    </row>
    <row r="17" spans="1:8" ht="21.6" customHeight="1" x14ac:dyDescent="0.35">
      <c r="A17" s="4"/>
      <c r="B17" s="23" t="s">
        <v>71</v>
      </c>
      <c r="C17" s="26">
        <v>305000</v>
      </c>
      <c r="D17" s="24"/>
      <c r="E17" s="24">
        <f>2017687.253</f>
        <v>2017687.253</v>
      </c>
      <c r="F17" s="24"/>
      <c r="G17" s="25">
        <f>E17/C17*100</f>
        <v>661.53680426229505</v>
      </c>
      <c r="H17" s="21"/>
    </row>
    <row r="18" spans="1:8" ht="21.6" customHeight="1" x14ac:dyDescent="0.35">
      <c r="A18" s="4"/>
      <c r="B18" s="23" t="s">
        <v>75</v>
      </c>
      <c r="C18" s="26">
        <v>2000</v>
      </c>
      <c r="D18" s="24"/>
      <c r="E18" s="24">
        <v>2160</v>
      </c>
      <c r="F18" s="24"/>
      <c r="G18" s="25">
        <f t="shared" ref="G18:G19" si="6">E18/C18*100</f>
        <v>108</v>
      </c>
      <c r="H18" s="21"/>
    </row>
    <row r="19" spans="1:8" ht="21.6" customHeight="1" x14ac:dyDescent="0.35">
      <c r="A19" s="4"/>
      <c r="B19" s="23" t="s">
        <v>76</v>
      </c>
      <c r="C19" s="26">
        <v>355000</v>
      </c>
      <c r="D19" s="24"/>
      <c r="E19" s="24">
        <v>135573.158</v>
      </c>
      <c r="F19" s="24"/>
      <c r="G19" s="25">
        <f t="shared" si="6"/>
        <v>38.189621971830981</v>
      </c>
      <c r="H19" s="21"/>
    </row>
    <row r="20" spans="1:8" ht="21.6" customHeight="1" x14ac:dyDescent="0.35">
      <c r="A20" s="4">
        <v>5</v>
      </c>
      <c r="B20" s="19" t="s">
        <v>77</v>
      </c>
      <c r="C20" s="20">
        <v>489000</v>
      </c>
      <c r="D20" s="27"/>
      <c r="E20" s="20">
        <v>435800.45500000002</v>
      </c>
      <c r="F20" s="27"/>
      <c r="G20" s="25">
        <f>E20/C20*100</f>
        <v>89.120747443762781</v>
      </c>
      <c r="H20" s="21"/>
    </row>
    <row r="21" spans="1:8" ht="21.6" customHeight="1" x14ac:dyDescent="0.35">
      <c r="A21" s="4">
        <v>6</v>
      </c>
      <c r="B21" s="19" t="s">
        <v>78</v>
      </c>
      <c r="C21" s="20"/>
      <c r="D21" s="20"/>
      <c r="E21" s="20"/>
      <c r="F21" s="20"/>
      <c r="G21" s="21"/>
      <c r="H21" s="21"/>
    </row>
    <row r="22" spans="1:8" ht="39" customHeight="1" x14ac:dyDescent="0.35">
      <c r="A22" s="6" t="s">
        <v>17</v>
      </c>
      <c r="B22" s="28" t="s">
        <v>79</v>
      </c>
      <c r="C22" s="26"/>
      <c r="D22" s="26"/>
      <c r="E22" s="26"/>
      <c r="F22" s="26"/>
      <c r="G22" s="25"/>
      <c r="H22" s="21"/>
    </row>
    <row r="23" spans="1:8" ht="21.6" customHeight="1" x14ac:dyDescent="0.35">
      <c r="A23" s="6" t="s">
        <v>17</v>
      </c>
      <c r="B23" s="28" t="s">
        <v>80</v>
      </c>
      <c r="C23" s="26"/>
      <c r="D23" s="26"/>
      <c r="E23" s="26"/>
      <c r="F23" s="26"/>
      <c r="G23" s="25"/>
      <c r="H23" s="21"/>
    </row>
    <row r="24" spans="1:8" ht="21.6" customHeight="1" x14ac:dyDescent="0.35">
      <c r="A24" s="4">
        <v>7</v>
      </c>
      <c r="B24" s="19" t="s">
        <v>81</v>
      </c>
      <c r="C24" s="20">
        <f>96000+645000</f>
        <v>741000</v>
      </c>
      <c r="D24" s="20"/>
      <c r="E24" s="20">
        <v>1929250.4680000001</v>
      </c>
      <c r="F24" s="20"/>
      <c r="G24" s="21">
        <f>E24/C24*100</f>
        <v>260.35768798920378</v>
      </c>
      <c r="H24" s="21"/>
    </row>
    <row r="25" spans="1:8" ht="21.6" customHeight="1" x14ac:dyDescent="0.35">
      <c r="A25" s="4">
        <v>8</v>
      </c>
      <c r="B25" s="19" t="s">
        <v>82</v>
      </c>
      <c r="C25" s="20">
        <f>SUM(C26:C29)</f>
        <v>315000</v>
      </c>
      <c r="D25" s="20">
        <f t="shared" ref="D25:F25" si="7">SUM(D26:D29)</f>
        <v>0</v>
      </c>
      <c r="E25" s="20">
        <f>SUM(E26:E29)</f>
        <v>80884.540999999997</v>
      </c>
      <c r="F25" s="20">
        <f t="shared" si="7"/>
        <v>0</v>
      </c>
      <c r="G25" s="21">
        <f t="shared" ref="G25:G29" si="8">E25/C25*100</f>
        <v>25.677632063492062</v>
      </c>
      <c r="H25" s="21"/>
    </row>
    <row r="26" spans="1:8" ht="21.6" customHeight="1" x14ac:dyDescent="0.35">
      <c r="A26" s="6" t="s">
        <v>17</v>
      </c>
      <c r="B26" s="28" t="s">
        <v>83</v>
      </c>
      <c r="C26" s="26">
        <v>100000</v>
      </c>
      <c r="D26" s="26"/>
      <c r="E26" s="26">
        <v>9029.8410000000003</v>
      </c>
      <c r="F26" s="26"/>
      <c r="G26" s="21">
        <f t="shared" si="8"/>
        <v>9.0298410000000011</v>
      </c>
      <c r="H26" s="21"/>
    </row>
    <row r="27" spans="1:8" ht="21.6" customHeight="1" x14ac:dyDescent="0.35">
      <c r="A27" s="6" t="s">
        <v>17</v>
      </c>
      <c r="B27" s="28" t="s">
        <v>84</v>
      </c>
      <c r="C27" s="26">
        <v>0</v>
      </c>
      <c r="D27" s="26"/>
      <c r="E27" s="26">
        <v>10479.700000000001</v>
      </c>
      <c r="F27" s="26"/>
      <c r="G27" s="21"/>
      <c r="H27" s="21"/>
    </row>
    <row r="28" spans="1:8" ht="21.6" customHeight="1" x14ac:dyDescent="0.35">
      <c r="A28" s="6" t="s">
        <v>17</v>
      </c>
      <c r="B28" s="28" t="s">
        <v>85</v>
      </c>
      <c r="C28" s="26"/>
      <c r="D28" s="26"/>
      <c r="E28" s="26"/>
      <c r="F28" s="26"/>
      <c r="G28" s="21"/>
      <c r="H28" s="21"/>
    </row>
    <row r="29" spans="1:8" ht="21.6" customHeight="1" x14ac:dyDescent="0.35">
      <c r="A29" s="6" t="s">
        <v>17</v>
      </c>
      <c r="B29" s="28" t="s">
        <v>86</v>
      </c>
      <c r="C29" s="26">
        <v>215000</v>
      </c>
      <c r="D29" s="26"/>
      <c r="E29" s="26">
        <v>61375</v>
      </c>
      <c r="F29" s="26"/>
      <c r="G29" s="21">
        <f t="shared" si="8"/>
        <v>28.54651162790698</v>
      </c>
      <c r="H29" s="21"/>
    </row>
    <row r="30" spans="1:8" ht="21.6" customHeight="1" x14ac:dyDescent="0.35">
      <c r="A30" s="4">
        <v>9</v>
      </c>
      <c r="B30" s="19" t="s">
        <v>87</v>
      </c>
      <c r="C30" s="20"/>
      <c r="D30" s="20"/>
      <c r="E30" s="20"/>
      <c r="F30" s="20"/>
      <c r="G30" s="21"/>
      <c r="H30" s="21"/>
    </row>
    <row r="31" spans="1:8" ht="21.6" customHeight="1" x14ac:dyDescent="0.35">
      <c r="A31" s="4">
        <v>10</v>
      </c>
      <c r="B31" s="19" t="s">
        <v>88</v>
      </c>
      <c r="C31" s="20">
        <v>3000</v>
      </c>
      <c r="D31" s="20"/>
      <c r="E31" s="20">
        <v>18029.524000000001</v>
      </c>
      <c r="F31" s="20"/>
      <c r="G31" s="21">
        <f>E31/C31*100</f>
        <v>600.98413333333338</v>
      </c>
      <c r="H31" s="21"/>
    </row>
    <row r="32" spans="1:8" ht="21.6" customHeight="1" x14ac:dyDescent="0.35">
      <c r="A32" s="4">
        <v>11</v>
      </c>
      <c r="B32" s="19" t="s">
        <v>89</v>
      </c>
      <c r="C32" s="20"/>
      <c r="D32" s="20"/>
      <c r="E32" s="20"/>
      <c r="F32" s="20"/>
      <c r="G32" s="21"/>
      <c r="H32" s="21"/>
    </row>
    <row r="33" spans="1:8" ht="21.6" customHeight="1" x14ac:dyDescent="0.35">
      <c r="A33" s="4">
        <v>12</v>
      </c>
      <c r="B33" s="19" t="s">
        <v>90</v>
      </c>
      <c r="C33" s="20">
        <v>3000000</v>
      </c>
      <c r="D33" s="20"/>
      <c r="E33" s="20">
        <v>2653833</v>
      </c>
      <c r="F33" s="20"/>
      <c r="G33" s="21">
        <f>E33/C33*100</f>
        <v>88.461100000000002</v>
      </c>
      <c r="H33" s="21"/>
    </row>
    <row r="34" spans="1:8" ht="24.6" customHeight="1" x14ac:dyDescent="0.35">
      <c r="A34" s="4">
        <v>13</v>
      </c>
      <c r="B34" s="19" t="s">
        <v>91</v>
      </c>
      <c r="C34" s="20"/>
      <c r="D34" s="20"/>
      <c r="E34" s="20"/>
      <c r="F34" s="20"/>
      <c r="G34" s="21"/>
      <c r="H34" s="21"/>
    </row>
    <row r="35" spans="1:8" ht="21.6" customHeight="1" x14ac:dyDescent="0.35">
      <c r="A35" s="4">
        <v>14</v>
      </c>
      <c r="B35" s="19" t="s">
        <v>92</v>
      </c>
      <c r="C35" s="22"/>
      <c r="D35" s="22"/>
      <c r="E35" s="22"/>
      <c r="F35" s="22"/>
      <c r="G35" s="21"/>
      <c r="H35" s="21"/>
    </row>
    <row r="36" spans="1:8" ht="21.6" customHeight="1" x14ac:dyDescent="0.35">
      <c r="A36" s="4">
        <v>15</v>
      </c>
      <c r="B36" s="19" t="s">
        <v>93</v>
      </c>
      <c r="C36" s="20"/>
      <c r="D36" s="20"/>
      <c r="E36" s="20"/>
      <c r="F36" s="20"/>
      <c r="G36" s="21"/>
      <c r="H36" s="21"/>
    </row>
    <row r="37" spans="1:8" ht="21.6" customHeight="1" x14ac:dyDescent="0.35">
      <c r="A37" s="4">
        <v>16</v>
      </c>
      <c r="B37" s="19" t="s">
        <v>94</v>
      </c>
      <c r="C37" s="20">
        <f>160000+370000</f>
        <v>530000</v>
      </c>
      <c r="D37" s="20"/>
      <c r="E37" s="20">
        <f>26481.46+225684.065+34250</f>
        <v>286415.52500000002</v>
      </c>
      <c r="F37" s="20">
        <f>41731.46-26481.46</f>
        <v>15250</v>
      </c>
      <c r="G37" s="21">
        <f>E37/C37*100</f>
        <v>54.040665094339623</v>
      </c>
      <c r="H37" s="21"/>
    </row>
    <row r="38" spans="1:8" ht="21.6" customHeight="1" x14ac:dyDescent="0.35">
      <c r="A38" s="4">
        <v>17</v>
      </c>
      <c r="B38" s="19" t="s">
        <v>95</v>
      </c>
      <c r="C38" s="20"/>
      <c r="D38" s="20"/>
      <c r="E38" s="20"/>
      <c r="F38" s="20"/>
      <c r="G38" s="21"/>
      <c r="H38" s="21"/>
    </row>
    <row r="39" spans="1:8" ht="21.6" customHeight="1" x14ac:dyDescent="0.35">
      <c r="A39" s="4">
        <v>18</v>
      </c>
      <c r="B39" s="19" t="s">
        <v>96</v>
      </c>
      <c r="C39" s="20"/>
      <c r="D39" s="20"/>
      <c r="E39" s="20"/>
      <c r="F39" s="20"/>
      <c r="G39" s="21"/>
      <c r="H39" s="21"/>
    </row>
    <row r="40" spans="1:8" ht="54" customHeight="1" x14ac:dyDescent="0.35">
      <c r="A40" s="4">
        <v>19</v>
      </c>
      <c r="B40" s="19" t="s">
        <v>97</v>
      </c>
      <c r="C40" s="20"/>
      <c r="D40" s="20"/>
      <c r="E40" s="20"/>
      <c r="F40" s="20"/>
      <c r="G40" s="21"/>
      <c r="H40" s="21"/>
    </row>
    <row r="41" spans="1:8" ht="21.6" customHeight="1" x14ac:dyDescent="0.35">
      <c r="A41" s="4">
        <v>20</v>
      </c>
      <c r="B41" s="19" t="s">
        <v>98</v>
      </c>
      <c r="C41" s="20"/>
      <c r="D41" s="20"/>
      <c r="E41" s="20"/>
      <c r="F41" s="20"/>
      <c r="G41" s="21"/>
      <c r="H41" s="21"/>
    </row>
    <row r="42" spans="1:8" ht="21.6" customHeight="1" x14ac:dyDescent="0.35">
      <c r="A42" s="4" t="s">
        <v>20</v>
      </c>
      <c r="B42" s="19" t="s">
        <v>99</v>
      </c>
      <c r="C42" s="26"/>
      <c r="D42" s="26"/>
      <c r="E42" s="26"/>
      <c r="F42" s="26"/>
      <c r="G42" s="25"/>
      <c r="H42" s="21"/>
    </row>
    <row r="43" spans="1:8" ht="21.6" customHeight="1" x14ac:dyDescent="0.35">
      <c r="A43" s="4" t="s">
        <v>24</v>
      </c>
      <c r="B43" s="19" t="s">
        <v>100</v>
      </c>
      <c r="C43" s="26"/>
      <c r="D43" s="26"/>
      <c r="E43" s="26"/>
      <c r="F43" s="26"/>
      <c r="G43" s="25"/>
      <c r="H43" s="21"/>
    </row>
    <row r="44" spans="1:8" ht="21.6" customHeight="1" x14ac:dyDescent="0.35">
      <c r="A44" s="6">
        <v>1</v>
      </c>
      <c r="B44" s="29" t="s">
        <v>101</v>
      </c>
      <c r="C44" s="26"/>
      <c r="D44" s="26"/>
      <c r="E44" s="26"/>
      <c r="F44" s="26"/>
      <c r="G44" s="25"/>
      <c r="H44" s="21"/>
    </row>
    <row r="45" spans="1:8" ht="21.6" customHeight="1" x14ac:dyDescent="0.35">
      <c r="A45" s="6">
        <v>2</v>
      </c>
      <c r="B45" s="29" t="s">
        <v>102</v>
      </c>
      <c r="C45" s="26"/>
      <c r="D45" s="26"/>
      <c r="E45" s="26"/>
      <c r="F45" s="26"/>
      <c r="G45" s="25"/>
      <c r="H45" s="21"/>
    </row>
    <row r="46" spans="1:8" ht="21.6" customHeight="1" x14ac:dyDescent="0.35">
      <c r="A46" s="6">
        <v>3</v>
      </c>
      <c r="B46" s="29" t="s">
        <v>103</v>
      </c>
      <c r="C46" s="26"/>
      <c r="D46" s="26"/>
      <c r="E46" s="26"/>
      <c r="F46" s="26"/>
      <c r="G46" s="25"/>
      <c r="H46" s="21"/>
    </row>
    <row r="47" spans="1:8" ht="21.6" customHeight="1" x14ac:dyDescent="0.35">
      <c r="A47" s="6">
        <v>4</v>
      </c>
      <c r="B47" s="29" t="s">
        <v>104</v>
      </c>
      <c r="C47" s="26"/>
      <c r="D47" s="26"/>
      <c r="E47" s="26"/>
      <c r="F47" s="26"/>
      <c r="G47" s="25"/>
      <c r="H47" s="21"/>
    </row>
    <row r="48" spans="1:8" ht="21.6" customHeight="1" x14ac:dyDescent="0.35">
      <c r="A48" s="6">
        <v>5</v>
      </c>
      <c r="B48" s="29" t="s">
        <v>105</v>
      </c>
      <c r="C48" s="26"/>
      <c r="D48" s="26"/>
      <c r="E48" s="26"/>
      <c r="F48" s="26"/>
      <c r="G48" s="25"/>
      <c r="H48" s="21"/>
    </row>
    <row r="49" spans="1:8" ht="21.6" customHeight="1" x14ac:dyDescent="0.35">
      <c r="A49" s="6">
        <v>6</v>
      </c>
      <c r="B49" s="29" t="s">
        <v>106</v>
      </c>
      <c r="C49" s="26"/>
      <c r="D49" s="26"/>
      <c r="E49" s="26"/>
      <c r="F49" s="26"/>
      <c r="G49" s="25"/>
      <c r="H49" s="21"/>
    </row>
    <row r="50" spans="1:8" ht="24" customHeight="1" x14ac:dyDescent="0.35">
      <c r="A50" s="4" t="s">
        <v>26</v>
      </c>
      <c r="B50" s="19" t="s">
        <v>107</v>
      </c>
      <c r="C50" s="26"/>
      <c r="D50" s="26"/>
      <c r="E50" s="26"/>
      <c r="F50" s="26"/>
      <c r="G50" s="25"/>
      <c r="H50" s="21"/>
    </row>
    <row r="51" spans="1:8" ht="24" customHeight="1" x14ac:dyDescent="0.35">
      <c r="A51" s="4" t="s">
        <v>28</v>
      </c>
      <c r="B51" s="19" t="s">
        <v>108</v>
      </c>
      <c r="C51" s="20"/>
      <c r="D51" s="20"/>
      <c r="E51" s="20">
        <v>4000000</v>
      </c>
      <c r="F51" s="20"/>
      <c r="G51" s="21"/>
      <c r="H51" s="21"/>
    </row>
    <row r="52" spans="1:8" ht="24" customHeight="1" x14ac:dyDescent="0.35">
      <c r="A52" s="4" t="s">
        <v>11</v>
      </c>
      <c r="B52" s="19" t="s">
        <v>109</v>
      </c>
      <c r="C52" s="20"/>
      <c r="D52" s="20"/>
      <c r="E52" s="20"/>
      <c r="F52" s="20"/>
      <c r="G52" s="21"/>
      <c r="H52" s="21"/>
    </row>
    <row r="53" spans="1:8" ht="24" customHeight="1" x14ac:dyDescent="0.35">
      <c r="A53" s="4" t="s">
        <v>45</v>
      </c>
      <c r="B53" s="19" t="s">
        <v>110</v>
      </c>
      <c r="C53" s="20">
        <v>122685909.15099999</v>
      </c>
      <c r="D53" s="20">
        <v>122685909.15099999</v>
      </c>
      <c r="E53" s="20">
        <v>122685909.15099999</v>
      </c>
      <c r="F53" s="20">
        <v>122685909.15099999</v>
      </c>
      <c r="G53" s="21">
        <f>E53/C53*100</f>
        <v>100</v>
      </c>
      <c r="H53" s="21">
        <f t="shared" ref="H53:H55" si="9">F53/D53*100</f>
        <v>100</v>
      </c>
    </row>
    <row r="54" spans="1:8" ht="24" customHeight="1" x14ac:dyDescent="0.35">
      <c r="A54" s="4" t="s">
        <v>47</v>
      </c>
      <c r="B54" s="19" t="s">
        <v>111</v>
      </c>
      <c r="C54" s="20">
        <v>378565.23</v>
      </c>
      <c r="D54" s="20">
        <v>378565.23</v>
      </c>
      <c r="E54" s="20">
        <v>378565.23</v>
      </c>
      <c r="F54" s="20">
        <v>378565.23</v>
      </c>
      <c r="G54" s="21">
        <f t="shared" ref="G54:G55" si="10">E54/C54*100</f>
        <v>100</v>
      </c>
      <c r="H54" s="21">
        <f t="shared" si="9"/>
        <v>100</v>
      </c>
    </row>
    <row r="55" spans="1:8" ht="26.4" x14ac:dyDescent="0.35">
      <c r="A55" s="4" t="s">
        <v>51</v>
      </c>
      <c r="B55" s="19" t="s">
        <v>112</v>
      </c>
      <c r="C55" s="20">
        <v>3845520.4530000002</v>
      </c>
      <c r="D55" s="20">
        <v>3845520.4530000002</v>
      </c>
      <c r="E55" s="20">
        <v>3845520.4530000002</v>
      </c>
      <c r="F55" s="20">
        <v>3845520.4530000002</v>
      </c>
      <c r="G55" s="21">
        <f t="shared" si="10"/>
        <v>100</v>
      </c>
      <c r="H55" s="21">
        <f t="shared" si="9"/>
        <v>100</v>
      </c>
    </row>
    <row r="56" spans="1:8" ht="21" customHeight="1" x14ac:dyDescent="0.35">
      <c r="A56" s="30" t="s">
        <v>113</v>
      </c>
    </row>
    <row r="57" spans="1:8" ht="36.75" customHeight="1" x14ac:dyDescent="0.35">
      <c r="A57" s="248" t="s">
        <v>114</v>
      </c>
      <c r="B57" s="248"/>
      <c r="C57" s="248"/>
      <c r="D57" s="248"/>
      <c r="E57" s="248"/>
      <c r="F57" s="248"/>
      <c r="G57" s="248"/>
      <c r="H57" s="248"/>
    </row>
    <row r="58" spans="1:8" ht="36.75" customHeight="1" x14ac:dyDescent="0.35">
      <c r="A58" s="248" t="s">
        <v>115</v>
      </c>
      <c r="B58" s="248"/>
      <c r="C58" s="248"/>
      <c r="D58" s="248"/>
      <c r="E58" s="248"/>
      <c r="F58" s="248"/>
      <c r="G58" s="248"/>
      <c r="H58" s="248"/>
    </row>
    <row r="59" spans="1:8" ht="49.5" customHeight="1" x14ac:dyDescent="0.35">
      <c r="A59" s="248" t="s">
        <v>116</v>
      </c>
      <c r="B59" s="248"/>
      <c r="C59" s="248"/>
      <c r="D59" s="248"/>
      <c r="E59" s="248"/>
      <c r="F59" s="248"/>
      <c r="G59" s="248"/>
      <c r="H59" s="248"/>
    </row>
    <row r="60" spans="1:8" ht="49.5" customHeight="1" x14ac:dyDescent="0.35">
      <c r="A60" s="248" t="s">
        <v>117</v>
      </c>
      <c r="B60" s="248"/>
      <c r="C60" s="248"/>
      <c r="D60" s="248"/>
      <c r="E60" s="248"/>
      <c r="F60" s="248"/>
      <c r="G60" s="248"/>
      <c r="H60" s="248"/>
    </row>
    <row r="61" spans="1:8" ht="69.75" customHeight="1" x14ac:dyDescent="0.35">
      <c r="A61" s="248" t="s">
        <v>118</v>
      </c>
      <c r="B61" s="248"/>
      <c r="C61" s="248"/>
      <c r="D61" s="248"/>
      <c r="E61" s="248"/>
      <c r="F61" s="248"/>
      <c r="G61" s="248"/>
      <c r="H61" s="248"/>
    </row>
  </sheetData>
  <mergeCells count="14">
    <mergeCell ref="G1:H1"/>
    <mergeCell ref="A2:H2"/>
    <mergeCell ref="A3:H3"/>
    <mergeCell ref="A4:H4"/>
    <mergeCell ref="A6:A7"/>
    <mergeCell ref="B6:B7"/>
    <mergeCell ref="C6:D6"/>
    <mergeCell ref="E6:F6"/>
    <mergeCell ref="G6:H6"/>
    <mergeCell ref="A57:H57"/>
    <mergeCell ref="A58:H58"/>
    <mergeCell ref="A59:H59"/>
    <mergeCell ref="A60:H60"/>
    <mergeCell ref="A61:H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E66F-498D-4663-955C-FAB41A4E3B13}">
  <dimension ref="A1:H39"/>
  <sheetViews>
    <sheetView workbookViewId="0">
      <selection activeCell="D1" sqref="D1"/>
    </sheetView>
  </sheetViews>
  <sheetFormatPr defaultRowHeight="13.8" x14ac:dyDescent="0.25"/>
  <cols>
    <col min="1" max="1" width="5.1796875" style="16" customWidth="1"/>
    <col min="2" max="2" width="41.6328125" style="16" customWidth="1"/>
    <col min="3" max="3" width="12.08984375" style="16" customWidth="1"/>
    <col min="4" max="4" width="12.7265625" style="16" customWidth="1"/>
    <col min="5" max="5" width="8.81640625" style="16" customWidth="1"/>
    <col min="6" max="6" width="11.453125" style="53" hidden="1" customWidth="1"/>
    <col min="7" max="7" width="25.1796875" style="16" hidden="1" customWidth="1"/>
    <col min="8" max="8" width="18.08984375" style="16" hidden="1" customWidth="1"/>
    <col min="9" max="10" width="0" style="16" hidden="1" customWidth="1"/>
    <col min="11" max="16384" width="8.7265625" style="16"/>
  </cols>
  <sheetData>
    <row r="1" spans="1:7" ht="15.6" x14ac:dyDescent="0.25">
      <c r="E1" s="1" t="s">
        <v>448</v>
      </c>
      <c r="F1" s="31"/>
    </row>
    <row r="2" spans="1:7" ht="15.6" x14ac:dyDescent="0.25">
      <c r="A2" s="243" t="s">
        <v>119</v>
      </c>
      <c r="B2" s="243"/>
      <c r="C2" s="243"/>
      <c r="D2" s="243"/>
      <c r="E2" s="243"/>
      <c r="F2" s="32"/>
    </row>
    <row r="3" spans="1:7" ht="15.6" x14ac:dyDescent="0.25">
      <c r="A3" s="245" t="str">
        <f>'Quyết toán thu NS'!A3:H3</f>
        <v>(Kèm theo Quyết định số 244/QĐ-UBND ngày 10 tháng 4 năm 2026 của UBND xã Thanh Thịnh)</v>
      </c>
      <c r="B3" s="245"/>
      <c r="C3" s="245"/>
      <c r="D3" s="245"/>
      <c r="E3" s="245"/>
      <c r="F3" s="32"/>
    </row>
    <row r="4" spans="1:7" ht="15.6" x14ac:dyDescent="0.25">
      <c r="E4" s="2" t="s">
        <v>2</v>
      </c>
      <c r="F4" s="33"/>
    </row>
    <row r="5" spans="1:7" ht="41.25" customHeight="1" x14ac:dyDescent="0.25">
      <c r="A5" s="3" t="s">
        <v>3</v>
      </c>
      <c r="B5" s="3" t="s">
        <v>4</v>
      </c>
      <c r="C5" s="3" t="s">
        <v>5</v>
      </c>
      <c r="D5" s="3" t="s">
        <v>6</v>
      </c>
      <c r="E5" s="3" t="s">
        <v>62</v>
      </c>
      <c r="F5" s="34"/>
    </row>
    <row r="6" spans="1:7" ht="15.6" x14ac:dyDescent="0.25">
      <c r="A6" s="3" t="s">
        <v>10</v>
      </c>
      <c r="B6" s="3" t="s">
        <v>11</v>
      </c>
      <c r="C6" s="3">
        <v>1</v>
      </c>
      <c r="D6" s="3">
        <v>2</v>
      </c>
      <c r="E6" s="3" t="s">
        <v>120</v>
      </c>
      <c r="F6" s="34"/>
    </row>
    <row r="7" spans="1:7" ht="15.6" x14ac:dyDescent="0.25">
      <c r="A7" s="3"/>
      <c r="B7" s="7" t="s">
        <v>121</v>
      </c>
      <c r="C7" s="35">
        <f>C8+C23+C36+C37+C38</f>
        <v>119824212.921</v>
      </c>
      <c r="D7" s="22">
        <f>D8+D23+D36+D37+D38</f>
        <v>124396922.083</v>
      </c>
      <c r="E7" s="36">
        <f>D7/C7*100</f>
        <v>103.81618126297627</v>
      </c>
      <c r="F7" s="37"/>
    </row>
    <row r="8" spans="1:7" ht="15.6" x14ac:dyDescent="0.25">
      <c r="A8" s="3" t="s">
        <v>10</v>
      </c>
      <c r="B8" s="7" t="s">
        <v>122</v>
      </c>
      <c r="C8" s="35">
        <f>C9+C14+C18+C19+C20+C21</f>
        <v>104270611.197</v>
      </c>
      <c r="D8" s="38">
        <f>D9+D14+D18+D19+D20+D21</f>
        <v>101562004.564</v>
      </c>
      <c r="E8" s="36">
        <f t="shared" ref="E8:E10" si="0">D8/C8*100</f>
        <v>97.402329763002356</v>
      </c>
      <c r="F8" s="39"/>
    </row>
    <row r="9" spans="1:7" ht="15.6" x14ac:dyDescent="0.25">
      <c r="A9" s="3" t="s">
        <v>15</v>
      </c>
      <c r="B9" s="7" t="s">
        <v>32</v>
      </c>
      <c r="C9" s="35">
        <f>C10</f>
        <v>9451222.4470000006</v>
      </c>
      <c r="D9" s="35">
        <f>D10</f>
        <v>8509899.5789999999</v>
      </c>
      <c r="E9" s="36">
        <f t="shared" si="0"/>
        <v>90.040199844213859</v>
      </c>
      <c r="F9" s="39">
        <f>D9+D25+D28+D31</f>
        <v>18364016.785</v>
      </c>
    </row>
    <row r="10" spans="1:7" ht="15.6" x14ac:dyDescent="0.25">
      <c r="A10" s="3">
        <v>1</v>
      </c>
      <c r="B10" s="7" t="s">
        <v>123</v>
      </c>
      <c r="C10" s="40">
        <f>C12+C13</f>
        <v>9451222.4470000006</v>
      </c>
      <c r="D10" s="40">
        <f>D12+D13</f>
        <v>8509899.5789999999</v>
      </c>
      <c r="E10" s="36">
        <f t="shared" si="0"/>
        <v>90.040199844213859</v>
      </c>
      <c r="F10" s="37"/>
      <c r="G10" s="41"/>
    </row>
    <row r="11" spans="1:7" ht="15.6" x14ac:dyDescent="0.25">
      <c r="A11" s="5"/>
      <c r="B11" s="42" t="s">
        <v>124</v>
      </c>
      <c r="C11" s="43"/>
      <c r="D11" s="43"/>
      <c r="E11" s="44"/>
      <c r="F11" s="39"/>
    </row>
    <row r="12" spans="1:7" ht="15.6" x14ac:dyDescent="0.25">
      <c r="A12" s="5" t="s">
        <v>17</v>
      </c>
      <c r="B12" s="42" t="s">
        <v>125</v>
      </c>
      <c r="C12" s="43">
        <v>890000</v>
      </c>
      <c r="D12" s="43">
        <f>890000000/1000</f>
        <v>890000</v>
      </c>
      <c r="E12" s="44">
        <f>D12/C12*100</f>
        <v>100</v>
      </c>
      <c r="F12" s="39"/>
    </row>
    <row r="13" spans="1:7" ht="15.6" x14ac:dyDescent="0.25">
      <c r="A13" s="45" t="s">
        <v>17</v>
      </c>
      <c r="B13" s="42" t="s">
        <v>126</v>
      </c>
      <c r="C13" s="43">
        <f>9451222.447-890000</f>
        <v>8561222.4470000006</v>
      </c>
      <c r="D13" s="43">
        <v>7619899.5789999999</v>
      </c>
      <c r="E13" s="44">
        <f t="shared" ref="E13:E14" si="1">D13/C13*100</f>
        <v>89.004807738293763</v>
      </c>
      <c r="F13" s="39"/>
    </row>
    <row r="14" spans="1:7" ht="15.6" x14ac:dyDescent="0.25">
      <c r="A14" s="3" t="s">
        <v>20</v>
      </c>
      <c r="B14" s="46" t="s">
        <v>33</v>
      </c>
      <c r="C14" s="47">
        <v>94819388.75</v>
      </c>
      <c r="D14" s="48">
        <v>93052104.984999999</v>
      </c>
      <c r="E14" s="36">
        <f t="shared" si="1"/>
        <v>98.136157817195382</v>
      </c>
      <c r="F14" s="37"/>
    </row>
    <row r="15" spans="1:7" ht="15.6" x14ac:dyDescent="0.25">
      <c r="A15" s="5"/>
      <c r="B15" s="42" t="s">
        <v>127</v>
      </c>
      <c r="C15" s="43"/>
      <c r="D15" s="43"/>
      <c r="E15" s="44"/>
      <c r="F15" s="39"/>
    </row>
    <row r="16" spans="1:7" ht="15.6" x14ac:dyDescent="0.25">
      <c r="A16" s="5">
        <v>1</v>
      </c>
      <c r="B16" s="42" t="s">
        <v>125</v>
      </c>
      <c r="C16" s="49">
        <f>48765232.406</f>
        <v>48765232.406000003</v>
      </c>
      <c r="D16" s="43">
        <v>48346072.765000001</v>
      </c>
      <c r="E16" s="44">
        <f>D16/C16*100</f>
        <v>99.140453925226396</v>
      </c>
      <c r="F16" s="39"/>
    </row>
    <row r="17" spans="1:8" ht="15.6" x14ac:dyDescent="0.25">
      <c r="A17" s="5">
        <v>2</v>
      </c>
      <c r="B17" s="42" t="s">
        <v>128</v>
      </c>
      <c r="C17" s="43"/>
      <c r="D17" s="50"/>
      <c r="E17" s="44"/>
      <c r="F17" s="39"/>
    </row>
    <row r="18" spans="1:8" ht="31.2" x14ac:dyDescent="0.25">
      <c r="A18" s="3" t="s">
        <v>24</v>
      </c>
      <c r="B18" s="7" t="s">
        <v>34</v>
      </c>
      <c r="C18" s="43"/>
      <c r="D18" s="50"/>
      <c r="E18" s="44"/>
      <c r="F18" s="39"/>
    </row>
    <row r="19" spans="1:8" ht="15.6" x14ac:dyDescent="0.25">
      <c r="A19" s="3" t="s">
        <v>26</v>
      </c>
      <c r="B19" s="7" t="s">
        <v>35</v>
      </c>
      <c r="C19" s="43"/>
      <c r="D19" s="50"/>
      <c r="E19" s="44"/>
      <c r="F19" s="39"/>
    </row>
    <row r="20" spans="1:8" ht="15.6" x14ac:dyDescent="0.25">
      <c r="A20" s="3" t="s">
        <v>28</v>
      </c>
      <c r="B20" s="7" t="s">
        <v>36</v>
      </c>
      <c r="C20" s="43"/>
      <c r="D20" s="50"/>
      <c r="E20" s="44"/>
      <c r="F20" s="39"/>
    </row>
    <row r="21" spans="1:8" ht="15.6" x14ac:dyDescent="0.25">
      <c r="A21" s="3" t="s">
        <v>129</v>
      </c>
      <c r="B21" s="7" t="s">
        <v>37</v>
      </c>
      <c r="C21" s="43"/>
      <c r="D21" s="50"/>
      <c r="E21" s="44"/>
      <c r="F21" s="39"/>
    </row>
    <row r="22" spans="1:8" ht="21" customHeight="1" x14ac:dyDescent="0.25">
      <c r="A22" s="3" t="s">
        <v>11</v>
      </c>
      <c r="B22" s="7" t="s">
        <v>130</v>
      </c>
      <c r="C22" s="43"/>
      <c r="D22" s="50"/>
      <c r="E22" s="44"/>
      <c r="F22" s="39"/>
    </row>
    <row r="23" spans="1:8" ht="23.4" customHeight="1" x14ac:dyDescent="0.25">
      <c r="A23" s="3" t="s">
        <v>15</v>
      </c>
      <c r="B23" s="7" t="s">
        <v>39</v>
      </c>
      <c r="C23" s="22">
        <f>C24+C27+C30</f>
        <v>15553601.723999999</v>
      </c>
      <c r="D23" s="22">
        <f>D24+D27+D30</f>
        <v>12288884.23</v>
      </c>
      <c r="E23" s="44">
        <f>D23/C23*100</f>
        <v>79.009893965830599</v>
      </c>
      <c r="F23" s="39"/>
    </row>
    <row r="24" spans="1:8" ht="18.600000000000001" customHeight="1" x14ac:dyDescent="0.25">
      <c r="A24" s="3">
        <v>1</v>
      </c>
      <c r="B24" s="7" t="s">
        <v>131</v>
      </c>
      <c r="C24" s="22">
        <f>C25+C26</f>
        <v>8496330.9299999997</v>
      </c>
      <c r="D24" s="22">
        <f>D25+D26</f>
        <v>6709534.5140000004</v>
      </c>
      <c r="E24" s="44">
        <f>D24/C24*100</f>
        <v>78.969787891724692</v>
      </c>
      <c r="F24" s="39"/>
    </row>
    <row r="25" spans="1:8" ht="21" customHeight="1" x14ac:dyDescent="0.25">
      <c r="A25" s="5"/>
      <c r="B25" s="13" t="s">
        <v>132</v>
      </c>
      <c r="C25" s="24">
        <f>8035330.93+451000</f>
        <v>8486330.9299999997</v>
      </c>
      <c r="D25" s="24">
        <v>6699534.5140000004</v>
      </c>
      <c r="E25" s="44">
        <f>D25/C25*100</f>
        <v>78.945006614301334</v>
      </c>
      <c r="F25" s="39">
        <f>C10+C25+C28+C31</f>
        <v>21648288.666999999</v>
      </c>
      <c r="G25" s="51">
        <f>D25+D28+D31</f>
        <v>9854117.2060000002</v>
      </c>
      <c r="H25" s="41">
        <f>D9+G25</f>
        <v>18364016.785</v>
      </c>
    </row>
    <row r="26" spans="1:8" ht="21" customHeight="1" x14ac:dyDescent="0.25">
      <c r="A26" s="5"/>
      <c r="B26" s="13" t="s">
        <v>133</v>
      </c>
      <c r="C26" s="24">
        <v>10000</v>
      </c>
      <c r="D26" s="24">
        <v>10000</v>
      </c>
      <c r="E26" s="44">
        <f>D26/C26*100</f>
        <v>100</v>
      </c>
      <c r="F26" s="39">
        <f>C14+C26+C29+C32</f>
        <v>98175924.253999993</v>
      </c>
      <c r="G26" s="51">
        <f>D26+D29+D32</f>
        <v>2434767.0240000002</v>
      </c>
    </row>
    <row r="27" spans="1:8" ht="15.6" x14ac:dyDescent="0.25">
      <c r="A27" s="3">
        <v>2</v>
      </c>
      <c r="B27" s="7" t="s">
        <v>134</v>
      </c>
      <c r="C27" s="22">
        <f>C28+C29</f>
        <v>807000</v>
      </c>
      <c r="D27" s="22">
        <f>D28+D29</f>
        <v>536664.56000000006</v>
      </c>
      <c r="E27" s="44">
        <f t="shared" ref="E27:E32" si="2">D27/C27*100</f>
        <v>66.501184634448578</v>
      </c>
      <c r="F27" s="39">
        <f>F25+F26</f>
        <v>119824212.92099999</v>
      </c>
    </row>
    <row r="28" spans="1:8" ht="21.6" customHeight="1" x14ac:dyDescent="0.25">
      <c r="A28" s="3"/>
      <c r="B28" s="13" t="s">
        <v>132</v>
      </c>
      <c r="C28" s="24"/>
      <c r="D28" s="24"/>
      <c r="E28" s="44"/>
      <c r="F28" s="39"/>
      <c r="H28" s="41">
        <f>G26+D14</f>
        <v>95486872.009000003</v>
      </c>
    </row>
    <row r="29" spans="1:8" ht="21.6" customHeight="1" x14ac:dyDescent="0.25">
      <c r="A29" s="3"/>
      <c r="B29" s="13" t="s">
        <v>133</v>
      </c>
      <c r="C29" s="24">
        <v>807000</v>
      </c>
      <c r="D29" s="24">
        <v>536664.56000000006</v>
      </c>
      <c r="E29" s="44">
        <f t="shared" si="2"/>
        <v>66.501184634448578</v>
      </c>
      <c r="F29" s="39"/>
    </row>
    <row r="30" spans="1:8" ht="15.6" x14ac:dyDescent="0.25">
      <c r="A30" s="3">
        <v>3</v>
      </c>
      <c r="B30" s="7" t="s">
        <v>135</v>
      </c>
      <c r="C30" s="22">
        <f>C31+C32</f>
        <v>6250270.7939999998</v>
      </c>
      <c r="D30" s="22">
        <f>D31+D32</f>
        <v>5042685.1559999995</v>
      </c>
      <c r="E30" s="44">
        <f t="shared" si="2"/>
        <v>80.679466893510721</v>
      </c>
      <c r="F30" s="39"/>
    </row>
    <row r="31" spans="1:8" ht="23.4" customHeight="1" x14ac:dyDescent="0.25">
      <c r="A31" s="3"/>
      <c r="B31" s="13" t="s">
        <v>132</v>
      </c>
      <c r="C31" s="24">
        <f>3466454.827+244280.463</f>
        <v>3710735.29</v>
      </c>
      <c r="D31" s="24">
        <v>3154582.6919999998</v>
      </c>
      <c r="E31" s="44">
        <f t="shared" si="2"/>
        <v>85.012334361365888</v>
      </c>
      <c r="F31" s="39"/>
    </row>
    <row r="32" spans="1:8" ht="23.4" customHeight="1" x14ac:dyDescent="0.25">
      <c r="A32" s="3"/>
      <c r="B32" s="13" t="s">
        <v>133</v>
      </c>
      <c r="C32" s="24">
        <f>2445535.504+94000</f>
        <v>2539535.5040000002</v>
      </c>
      <c r="D32" s="24">
        <v>1888102.4639999999</v>
      </c>
      <c r="E32" s="44">
        <f t="shared" si="2"/>
        <v>74.348338939387389</v>
      </c>
      <c r="F32" s="39"/>
    </row>
    <row r="33" spans="1:6" ht="15.6" x14ac:dyDescent="0.25">
      <c r="A33" s="3" t="s">
        <v>24</v>
      </c>
      <c r="B33" s="7" t="s">
        <v>136</v>
      </c>
      <c r="C33" s="24">
        <f>C34+C35</f>
        <v>0</v>
      </c>
      <c r="D33" s="24">
        <f>D34+D35</f>
        <v>0</v>
      </c>
      <c r="E33" s="44"/>
      <c r="F33" s="39"/>
    </row>
    <row r="34" spans="1:6" ht="21" customHeight="1" x14ac:dyDescent="0.25">
      <c r="A34" s="3"/>
      <c r="B34" s="13" t="s">
        <v>132</v>
      </c>
      <c r="C34" s="43"/>
      <c r="D34" s="50"/>
      <c r="E34" s="44"/>
      <c r="F34" s="39"/>
    </row>
    <row r="35" spans="1:6" ht="21" customHeight="1" x14ac:dyDescent="0.25">
      <c r="A35" s="3"/>
      <c r="B35" s="13" t="s">
        <v>133</v>
      </c>
      <c r="C35" s="43"/>
      <c r="D35" s="50"/>
      <c r="E35" s="44"/>
      <c r="F35" s="39"/>
    </row>
    <row r="36" spans="1:6" ht="19.8" customHeight="1" x14ac:dyDescent="0.25">
      <c r="A36" s="3" t="s">
        <v>45</v>
      </c>
      <c r="B36" s="7" t="s">
        <v>137</v>
      </c>
      <c r="C36" s="43"/>
      <c r="D36" s="50">
        <v>9850802.2719999999</v>
      </c>
      <c r="E36" s="44"/>
      <c r="F36" s="39"/>
    </row>
    <row r="37" spans="1:6" ht="19.8" customHeight="1" x14ac:dyDescent="0.25">
      <c r="A37" s="3" t="s">
        <v>47</v>
      </c>
      <c r="B37" s="7" t="s">
        <v>138</v>
      </c>
      <c r="C37" s="43"/>
      <c r="D37" s="50"/>
      <c r="E37" s="44"/>
      <c r="F37" s="39"/>
    </row>
    <row r="38" spans="1:6" ht="19.8" customHeight="1" x14ac:dyDescent="0.25">
      <c r="A38" s="3" t="s">
        <v>51</v>
      </c>
      <c r="B38" s="7" t="s">
        <v>139</v>
      </c>
      <c r="C38" s="43"/>
      <c r="D38" s="50">
        <v>695231.01699999999</v>
      </c>
      <c r="E38" s="44"/>
      <c r="F38" s="39"/>
    </row>
    <row r="39" spans="1:6" ht="60" customHeight="1" x14ac:dyDescent="0.25">
      <c r="A39" s="251" t="s">
        <v>140</v>
      </c>
      <c r="B39" s="251"/>
      <c r="C39" s="251"/>
      <c r="D39" s="251"/>
      <c r="E39" s="251"/>
      <c r="F39" s="52"/>
    </row>
  </sheetData>
  <mergeCells count="3">
    <mergeCell ref="A2:E2"/>
    <mergeCell ref="A3:E3"/>
    <mergeCell ref="A39:E3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73E9-782A-42C6-9995-D317C843462C}">
  <sheetPr>
    <pageSetUpPr fitToPage="1"/>
  </sheetPr>
  <dimension ref="A1:X100"/>
  <sheetViews>
    <sheetView topLeftCell="A2" zoomScale="60" zoomScaleNormal="60" workbookViewId="0">
      <selection activeCell="V7" sqref="V7:W7"/>
    </sheetView>
  </sheetViews>
  <sheetFormatPr defaultColWidth="10.90625" defaultRowHeight="18" x14ac:dyDescent="0.35"/>
  <cols>
    <col min="1" max="1" width="4.90625" customWidth="1"/>
    <col min="2" max="2" width="30.36328125" customWidth="1"/>
    <col min="4" max="4" width="12" customWidth="1"/>
    <col min="5" max="5" width="12.54296875" customWidth="1"/>
    <col min="6" max="6" width="13.36328125" customWidth="1"/>
    <col min="7" max="7" width="12.90625" customWidth="1"/>
    <col min="10" max="10" width="13.81640625" customWidth="1"/>
    <col min="14" max="14" width="14.26953125" customWidth="1"/>
    <col min="22" max="23" width="10.90625" style="54"/>
    <col min="24" max="26" width="0" hidden="1" customWidth="1"/>
  </cols>
  <sheetData>
    <row r="1" spans="1:24" ht="15.6" hidden="1" customHeight="1" x14ac:dyDescent="0.35">
      <c r="U1" s="1" t="s">
        <v>141</v>
      </c>
    </row>
    <row r="2" spans="1:24" ht="23.4" customHeight="1" x14ac:dyDescent="0.35">
      <c r="T2" s="256" t="s">
        <v>449</v>
      </c>
      <c r="U2" s="256"/>
      <c r="V2" s="256"/>
      <c r="W2" s="256"/>
    </row>
    <row r="3" spans="1:24" x14ac:dyDescent="0.35">
      <c r="A3" s="263" t="s">
        <v>142</v>
      </c>
      <c r="B3" s="263"/>
      <c r="C3" s="263"/>
      <c r="D3" s="263"/>
      <c r="E3" s="263"/>
      <c r="F3" s="263"/>
      <c r="G3" s="263"/>
      <c r="H3" s="263"/>
      <c r="I3" s="263"/>
      <c r="J3" s="263"/>
      <c r="K3" s="263"/>
      <c r="L3" s="263"/>
      <c r="M3" s="263"/>
      <c r="N3" s="263"/>
      <c r="O3" s="263"/>
      <c r="P3" s="263"/>
      <c r="Q3" s="263"/>
      <c r="R3" s="263"/>
      <c r="S3" s="263"/>
      <c r="T3" s="263"/>
      <c r="U3" s="263"/>
    </row>
    <row r="4" spans="1:24" x14ac:dyDescent="0.35">
      <c r="A4" s="264" t="str">
        <f>'Quyết toán chi ngân sách'!A3:E3</f>
        <v>(Kèm theo Quyết định số 244/QĐ-UBND ngày 10 tháng 4 năm 2026 của UBND xã Thanh Thịnh)</v>
      </c>
      <c r="B4" s="264"/>
      <c r="C4" s="264"/>
      <c r="D4" s="264"/>
      <c r="E4" s="264"/>
      <c r="F4" s="264"/>
      <c r="G4" s="264"/>
      <c r="H4" s="264"/>
      <c r="I4" s="264"/>
      <c r="J4" s="264"/>
      <c r="K4" s="264"/>
      <c r="L4" s="264"/>
      <c r="M4" s="264"/>
      <c r="N4" s="264"/>
      <c r="O4" s="264"/>
      <c r="P4" s="264"/>
      <c r="Q4" s="264"/>
      <c r="R4" s="264"/>
      <c r="S4" s="264"/>
      <c r="T4" s="264"/>
      <c r="U4" s="264"/>
    </row>
    <row r="5" spans="1:24" x14ac:dyDescent="0.35">
      <c r="U5" s="55" t="s">
        <v>2</v>
      </c>
    </row>
    <row r="6" spans="1:24" ht="22.5" customHeight="1" x14ac:dyDescent="0.35">
      <c r="A6" s="257" t="s">
        <v>3</v>
      </c>
      <c r="B6" s="257" t="s">
        <v>143</v>
      </c>
      <c r="C6" s="260" t="s">
        <v>144</v>
      </c>
      <c r="D6" s="261"/>
      <c r="E6" s="261"/>
      <c r="F6" s="261"/>
      <c r="G6" s="261"/>
      <c r="H6" s="262"/>
      <c r="I6" s="260" t="s">
        <v>6</v>
      </c>
      <c r="J6" s="261"/>
      <c r="K6" s="261"/>
      <c r="L6" s="261"/>
      <c r="M6" s="261"/>
      <c r="N6" s="261"/>
      <c r="O6" s="261"/>
      <c r="P6" s="261"/>
      <c r="Q6" s="261"/>
      <c r="R6" s="262"/>
      <c r="S6" s="260" t="s">
        <v>62</v>
      </c>
      <c r="T6" s="261"/>
      <c r="U6" s="261"/>
      <c r="V6" s="261"/>
      <c r="W6" s="262"/>
    </row>
    <row r="7" spans="1:24" ht="33.6" customHeight="1" x14ac:dyDescent="0.35">
      <c r="A7" s="257"/>
      <c r="B7" s="257"/>
      <c r="C7" s="257" t="s">
        <v>145</v>
      </c>
      <c r="D7" s="257" t="s">
        <v>146</v>
      </c>
      <c r="E7" s="257" t="s">
        <v>147</v>
      </c>
      <c r="F7" s="260" t="s">
        <v>148</v>
      </c>
      <c r="G7" s="261"/>
      <c r="H7" s="262"/>
      <c r="I7" s="257" t="s">
        <v>145</v>
      </c>
      <c r="J7" s="257" t="s">
        <v>146</v>
      </c>
      <c r="K7" s="257" t="s">
        <v>149</v>
      </c>
      <c r="L7" s="257" t="s">
        <v>150</v>
      </c>
      <c r="M7" s="257" t="s">
        <v>151</v>
      </c>
      <c r="N7" s="257" t="s">
        <v>152</v>
      </c>
      <c r="O7" s="257"/>
      <c r="P7" s="257"/>
      <c r="Q7" s="257" t="s">
        <v>153</v>
      </c>
      <c r="R7" s="258" t="s">
        <v>154</v>
      </c>
      <c r="S7" s="257" t="s">
        <v>145</v>
      </c>
      <c r="T7" s="257" t="s">
        <v>146</v>
      </c>
      <c r="U7" s="257" t="s">
        <v>149</v>
      </c>
      <c r="V7" s="252" t="s">
        <v>152</v>
      </c>
      <c r="W7" s="253"/>
    </row>
    <row r="8" spans="1:24" ht="93.6" customHeight="1" x14ac:dyDescent="0.35">
      <c r="A8" s="257"/>
      <c r="B8" s="257"/>
      <c r="C8" s="257"/>
      <c r="D8" s="257"/>
      <c r="E8" s="257"/>
      <c r="F8" s="56" t="s">
        <v>145</v>
      </c>
      <c r="G8" s="56" t="s">
        <v>155</v>
      </c>
      <c r="H8" s="56" t="s">
        <v>33</v>
      </c>
      <c r="I8" s="257"/>
      <c r="J8" s="257"/>
      <c r="K8" s="257"/>
      <c r="L8" s="257"/>
      <c r="M8" s="257"/>
      <c r="N8" s="56" t="s">
        <v>145</v>
      </c>
      <c r="O8" s="56" t="s">
        <v>32</v>
      </c>
      <c r="P8" s="56" t="s">
        <v>33</v>
      </c>
      <c r="Q8" s="257"/>
      <c r="R8" s="259"/>
      <c r="S8" s="257"/>
      <c r="T8" s="257"/>
      <c r="U8" s="257"/>
      <c r="V8" s="59" t="s">
        <v>155</v>
      </c>
      <c r="W8" s="59" t="s">
        <v>33</v>
      </c>
    </row>
    <row r="9" spans="1:24" x14ac:dyDescent="0.35">
      <c r="A9" s="56" t="s">
        <v>10</v>
      </c>
      <c r="B9" s="56" t="s">
        <v>11</v>
      </c>
      <c r="C9" s="56">
        <v>1</v>
      </c>
      <c r="D9" s="56">
        <v>2</v>
      </c>
      <c r="E9" s="56">
        <v>3</v>
      </c>
      <c r="F9" s="56">
        <v>4</v>
      </c>
      <c r="G9" s="56">
        <v>5</v>
      </c>
      <c r="H9" s="56">
        <v>6</v>
      </c>
      <c r="I9" s="56">
        <v>7</v>
      </c>
      <c r="J9" s="56">
        <v>8</v>
      </c>
      <c r="K9" s="56">
        <v>9</v>
      </c>
      <c r="L9" s="56">
        <v>10</v>
      </c>
      <c r="M9" s="56">
        <v>11</v>
      </c>
      <c r="N9" s="56">
        <v>12</v>
      </c>
      <c r="O9" s="56">
        <v>13</v>
      </c>
      <c r="P9" s="56">
        <v>14</v>
      </c>
      <c r="Q9" s="56">
        <v>15</v>
      </c>
      <c r="R9" s="56"/>
      <c r="S9" s="56">
        <v>16</v>
      </c>
      <c r="T9" s="56">
        <v>17</v>
      </c>
      <c r="U9" s="56">
        <v>18</v>
      </c>
      <c r="V9" s="60">
        <v>19</v>
      </c>
      <c r="W9" s="60">
        <v>20</v>
      </c>
    </row>
    <row r="10" spans="1:24" hidden="1" x14ac:dyDescent="0.35">
      <c r="A10" s="57"/>
      <c r="B10" s="58"/>
      <c r="C10" s="56"/>
      <c r="D10" s="61">
        <f>D11+G11</f>
        <v>21648128.667000003</v>
      </c>
      <c r="E10" s="56"/>
      <c r="F10" s="56"/>
      <c r="G10" s="56"/>
      <c r="H10" s="56"/>
      <c r="I10" s="56"/>
      <c r="J10" s="56"/>
      <c r="K10" s="56"/>
      <c r="L10" s="56"/>
      <c r="M10" s="56"/>
      <c r="N10" s="56"/>
      <c r="O10" s="56"/>
      <c r="P10" s="56"/>
      <c r="Q10" s="56"/>
      <c r="R10" s="56"/>
      <c r="S10" s="56"/>
      <c r="T10" s="56"/>
      <c r="U10" s="56"/>
      <c r="V10" s="60"/>
      <c r="W10" s="60"/>
    </row>
    <row r="11" spans="1:24" ht="25.2" customHeight="1" x14ac:dyDescent="0.35">
      <c r="A11" s="254" t="s">
        <v>156</v>
      </c>
      <c r="B11" s="255"/>
      <c r="C11" s="62">
        <f>SUM(C12:C84)</f>
        <v>119318517.41700003</v>
      </c>
      <c r="D11" s="20">
        <f t="shared" ref="D11:R11" si="0">SUM(D12:D84)</f>
        <v>9451222.4470000006</v>
      </c>
      <c r="E11" s="20">
        <f t="shared" si="0"/>
        <v>94819388.750000015</v>
      </c>
      <c r="F11" s="20">
        <f t="shared" si="0"/>
        <v>15047906.220000001</v>
      </c>
      <c r="G11" s="20">
        <f t="shared" si="0"/>
        <v>12196906.220000001</v>
      </c>
      <c r="H11" s="62">
        <f t="shared" si="0"/>
        <v>2851000</v>
      </c>
      <c r="I11" s="21">
        <f t="shared" si="0"/>
        <v>124396922.08300002</v>
      </c>
      <c r="J11" s="20">
        <f t="shared" si="0"/>
        <v>8509899.5789999999</v>
      </c>
      <c r="K11" s="62">
        <f t="shared" si="0"/>
        <v>93052104.984999999</v>
      </c>
      <c r="L11" s="62">
        <f t="shared" si="0"/>
        <v>0</v>
      </c>
      <c r="M11" s="62">
        <f t="shared" si="0"/>
        <v>0</v>
      </c>
      <c r="N11" s="20">
        <f t="shared" si="0"/>
        <v>12288884.229999999</v>
      </c>
      <c r="O11" s="62">
        <f t="shared" si="0"/>
        <v>9854117.2060000002</v>
      </c>
      <c r="P11" s="62">
        <f t="shared" si="0"/>
        <v>2434767.0240000002</v>
      </c>
      <c r="Q11" s="62">
        <f t="shared" si="0"/>
        <v>9850802.2719999999</v>
      </c>
      <c r="R11" s="62">
        <f t="shared" si="0"/>
        <v>695231.01699999999</v>
      </c>
      <c r="S11" s="63">
        <f>I11/C11*100</f>
        <v>104.25617479661749</v>
      </c>
      <c r="T11" s="64">
        <f>J11/D11*100</f>
        <v>90.040199844213859</v>
      </c>
      <c r="U11" s="64">
        <f>K11/E11*100</f>
        <v>98.136157817195354</v>
      </c>
      <c r="V11" s="65">
        <f>O11/G11*100</f>
        <v>80.79194041716589</v>
      </c>
      <c r="W11" s="65">
        <f>P11/H11*100</f>
        <v>85.400456822167669</v>
      </c>
      <c r="X11" s="66">
        <f>J11+O11</f>
        <v>18364016.785</v>
      </c>
    </row>
    <row r="12" spans="1:24" ht="25.2" customHeight="1" x14ac:dyDescent="0.35">
      <c r="A12" s="67">
        <v>1</v>
      </c>
      <c r="B12" s="68" t="s">
        <v>157</v>
      </c>
      <c r="C12" s="69">
        <f>D12+E12+F12</f>
        <v>6846995.0999999996</v>
      </c>
      <c r="D12" s="69"/>
      <c r="E12" s="70">
        <v>6846995.0999999996</v>
      </c>
      <c r="F12" s="69">
        <f>SUM(G12:H12)</f>
        <v>0</v>
      </c>
      <c r="G12" s="69"/>
      <c r="H12" s="69"/>
      <c r="I12" s="69">
        <f>J12+K12+L12+M12+N12+Q12</f>
        <v>6843555.0999999996</v>
      </c>
      <c r="J12" s="69"/>
      <c r="K12" s="69">
        <v>6843555.0999999996</v>
      </c>
      <c r="L12" s="69"/>
      <c r="M12" s="69"/>
      <c r="N12" s="69">
        <f>O12+P12</f>
        <v>0</v>
      </c>
      <c r="O12" s="71"/>
      <c r="P12" s="72"/>
      <c r="Q12" s="71"/>
      <c r="R12" s="71"/>
      <c r="S12" s="63">
        <f t="shared" ref="S12:T75" si="1">I12/C12*100</f>
        <v>99.949758982593693</v>
      </c>
      <c r="T12" s="73"/>
      <c r="U12" s="73">
        <f t="shared" ref="U12:U23" si="2">K12/E12*100</f>
        <v>99.949758982593693</v>
      </c>
      <c r="V12" s="74"/>
      <c r="W12" s="74"/>
    </row>
    <row r="13" spans="1:24" ht="25.2" customHeight="1" x14ac:dyDescent="0.35">
      <c r="A13" s="67">
        <v>2</v>
      </c>
      <c r="B13" s="68" t="s">
        <v>158</v>
      </c>
      <c r="C13" s="69">
        <f t="shared" ref="C13:C76" si="3">D13+E13+F13</f>
        <v>10845215.206</v>
      </c>
      <c r="D13" s="69"/>
      <c r="E13" s="70">
        <v>10845215.206</v>
      </c>
      <c r="F13" s="69">
        <f t="shared" ref="F13:F76" si="4">SUM(G13:H13)</f>
        <v>0</v>
      </c>
      <c r="G13" s="69"/>
      <c r="H13" s="69"/>
      <c r="I13" s="69">
        <f t="shared" ref="I13:I76" si="5">J13+K13+L13+M13+N13+Q13</f>
        <v>10842703.706</v>
      </c>
      <c r="J13" s="69"/>
      <c r="K13" s="69">
        <v>10842703.706</v>
      </c>
      <c r="L13" s="69"/>
      <c r="M13" s="69"/>
      <c r="N13" s="69">
        <f t="shared" ref="N13:N76" si="6">O13+P13</f>
        <v>0</v>
      </c>
      <c r="O13" s="71"/>
      <c r="P13" s="72"/>
      <c r="Q13" s="71"/>
      <c r="R13" s="71"/>
      <c r="S13" s="63">
        <f t="shared" si="1"/>
        <v>99.976842322145799</v>
      </c>
      <c r="T13" s="73"/>
      <c r="U13" s="73">
        <f t="shared" si="2"/>
        <v>99.976842322145799</v>
      </c>
      <c r="V13" s="74"/>
      <c r="W13" s="74"/>
      <c r="X13" s="66">
        <f>K11+P11</f>
        <v>95486872.009000003</v>
      </c>
    </row>
    <row r="14" spans="1:24" ht="25.2" customHeight="1" x14ac:dyDescent="0.35">
      <c r="A14" s="67">
        <v>3</v>
      </c>
      <c r="B14" s="68" t="s">
        <v>159</v>
      </c>
      <c r="C14" s="69">
        <f t="shared" si="3"/>
        <v>4399713</v>
      </c>
      <c r="D14" s="69"/>
      <c r="E14" s="70">
        <f>4399713</f>
        <v>4399713</v>
      </c>
      <c r="F14" s="69">
        <f t="shared" si="4"/>
        <v>0</v>
      </c>
      <c r="G14" s="69"/>
      <c r="H14" s="69"/>
      <c r="I14" s="69">
        <f t="shared" si="5"/>
        <v>4370388.4400000004</v>
      </c>
      <c r="J14" s="69"/>
      <c r="K14" s="69">
        <v>4370388.4400000004</v>
      </c>
      <c r="L14" s="69"/>
      <c r="M14" s="69"/>
      <c r="N14" s="69">
        <f t="shared" si="6"/>
        <v>0</v>
      </c>
      <c r="O14" s="71"/>
      <c r="P14" s="72"/>
      <c r="Q14" s="71"/>
      <c r="R14" s="71"/>
      <c r="S14" s="63">
        <f t="shared" si="1"/>
        <v>99.333489252594447</v>
      </c>
      <c r="T14" s="73"/>
      <c r="U14" s="73">
        <f t="shared" si="2"/>
        <v>99.333489252594447</v>
      </c>
      <c r="V14" s="74"/>
      <c r="W14" s="74"/>
    </row>
    <row r="15" spans="1:24" ht="25.2" customHeight="1" x14ac:dyDescent="0.35">
      <c r="A15" s="67">
        <v>4</v>
      </c>
      <c r="B15" s="68" t="s">
        <v>160</v>
      </c>
      <c r="C15" s="69">
        <f t="shared" si="3"/>
        <v>5892898.8760000002</v>
      </c>
      <c r="D15" s="69"/>
      <c r="E15" s="70">
        <v>5892898.8760000002</v>
      </c>
      <c r="F15" s="69">
        <f t="shared" si="4"/>
        <v>0</v>
      </c>
      <c r="G15" s="69"/>
      <c r="H15" s="69"/>
      <c r="I15" s="69">
        <f t="shared" si="5"/>
        <v>5886898.5880000005</v>
      </c>
      <c r="J15" s="69"/>
      <c r="K15" s="69">
        <v>5886898.5880000005</v>
      </c>
      <c r="L15" s="69"/>
      <c r="M15" s="69"/>
      <c r="N15" s="69">
        <f t="shared" si="6"/>
        <v>0</v>
      </c>
      <c r="O15" s="71"/>
      <c r="P15" s="72"/>
      <c r="Q15" s="71"/>
      <c r="R15" s="71"/>
      <c r="S15" s="63">
        <f t="shared" si="1"/>
        <v>99.898177652013729</v>
      </c>
      <c r="T15" s="73"/>
      <c r="U15" s="73">
        <f t="shared" si="2"/>
        <v>99.898177652013729</v>
      </c>
      <c r="V15" s="74"/>
      <c r="W15" s="74"/>
    </row>
    <row r="16" spans="1:24" ht="28.8" customHeight="1" x14ac:dyDescent="0.35">
      <c r="A16" s="67">
        <v>5</v>
      </c>
      <c r="B16" s="68" t="s">
        <v>161</v>
      </c>
      <c r="C16" s="69">
        <f t="shared" si="3"/>
        <v>15136674.199999999</v>
      </c>
      <c r="D16" s="69"/>
      <c r="E16" s="70">
        <f>15136674.2</f>
        <v>15136674.199999999</v>
      </c>
      <c r="F16" s="69">
        <f t="shared" si="4"/>
        <v>0</v>
      </c>
      <c r="G16" s="69"/>
      <c r="H16" s="69"/>
      <c r="I16" s="69">
        <f t="shared" si="5"/>
        <v>14939324.139</v>
      </c>
      <c r="J16" s="69"/>
      <c r="K16" s="69">
        <v>14939324.139</v>
      </c>
      <c r="L16" s="69"/>
      <c r="M16" s="69"/>
      <c r="N16" s="69">
        <f t="shared" si="6"/>
        <v>0</v>
      </c>
      <c r="O16" s="71"/>
      <c r="P16" s="72"/>
      <c r="Q16" s="71"/>
      <c r="R16" s="71"/>
      <c r="S16" s="63">
        <f t="shared" si="1"/>
        <v>98.696212533926385</v>
      </c>
      <c r="T16" s="73"/>
      <c r="U16" s="73">
        <f t="shared" si="2"/>
        <v>98.696212533926385</v>
      </c>
      <c r="V16" s="74"/>
      <c r="W16" s="74"/>
    </row>
    <row r="17" spans="1:24" ht="25.2" customHeight="1" x14ac:dyDescent="0.35">
      <c r="A17" s="67">
        <v>6</v>
      </c>
      <c r="B17" s="68" t="s">
        <v>162</v>
      </c>
      <c r="C17" s="69">
        <f t="shared" si="3"/>
        <v>4815852.5999999996</v>
      </c>
      <c r="D17" s="69"/>
      <c r="E17" s="70">
        <v>4815852.5999999996</v>
      </c>
      <c r="F17" s="69">
        <f t="shared" si="4"/>
        <v>0</v>
      </c>
      <c r="G17" s="69"/>
      <c r="H17" s="69"/>
      <c r="I17" s="69">
        <f t="shared" si="5"/>
        <v>4808209.2</v>
      </c>
      <c r="J17" s="69"/>
      <c r="K17" s="69">
        <v>4808209.2</v>
      </c>
      <c r="L17" s="69"/>
      <c r="M17" s="69"/>
      <c r="N17" s="69">
        <f t="shared" si="6"/>
        <v>0</v>
      </c>
      <c r="O17" s="71"/>
      <c r="P17" s="72"/>
      <c r="Q17" s="71"/>
      <c r="R17" s="71"/>
      <c r="S17" s="63">
        <f t="shared" si="1"/>
        <v>99.841286670609492</v>
      </c>
      <c r="T17" s="73"/>
      <c r="U17" s="73">
        <f t="shared" si="2"/>
        <v>99.841286670609492</v>
      </c>
      <c r="V17" s="74"/>
      <c r="W17" s="74"/>
    </row>
    <row r="18" spans="1:24" ht="29.4" customHeight="1" x14ac:dyDescent="0.35">
      <c r="A18" s="67">
        <v>7</v>
      </c>
      <c r="B18" s="68" t="s">
        <v>163</v>
      </c>
      <c r="C18" s="69">
        <f t="shared" si="3"/>
        <v>3317685.43</v>
      </c>
      <c r="D18" s="69"/>
      <c r="E18" s="70">
        <f>463460+2600616.39+17600+86009.04</f>
        <v>3167685.43</v>
      </c>
      <c r="F18" s="69">
        <f t="shared" si="4"/>
        <v>150000</v>
      </c>
      <c r="G18" s="69"/>
      <c r="H18" s="70">
        <f>143088+6912</f>
        <v>150000</v>
      </c>
      <c r="I18" s="69">
        <f t="shared" si="5"/>
        <v>3317129.33</v>
      </c>
      <c r="J18" s="69"/>
      <c r="K18" s="69">
        <v>3167172.83</v>
      </c>
      <c r="L18" s="69"/>
      <c r="M18" s="69"/>
      <c r="N18" s="69">
        <f t="shared" si="6"/>
        <v>149956.5</v>
      </c>
      <c r="O18" s="71"/>
      <c r="P18" s="72">
        <f>143088+6868.5</f>
        <v>149956.5</v>
      </c>
      <c r="Q18" s="71"/>
      <c r="R18" s="71"/>
      <c r="S18" s="63">
        <f t="shared" si="1"/>
        <v>99.983238314429343</v>
      </c>
      <c r="T18" s="73"/>
      <c r="U18" s="73">
        <f t="shared" si="2"/>
        <v>99.983817837619057</v>
      </c>
      <c r="V18" s="74"/>
      <c r="W18" s="74">
        <f t="shared" ref="W18:W23" si="7">P18/H18*100</f>
        <v>99.971000000000004</v>
      </c>
    </row>
    <row r="19" spans="1:24" ht="25.2" customHeight="1" x14ac:dyDescent="0.35">
      <c r="A19" s="67">
        <v>8</v>
      </c>
      <c r="B19" s="68" t="s">
        <v>164</v>
      </c>
      <c r="C19" s="69">
        <f t="shared" si="3"/>
        <v>12204957.865</v>
      </c>
      <c r="D19" s="69"/>
      <c r="E19" s="70">
        <f>10471157.865</f>
        <v>10471157.865</v>
      </c>
      <c r="F19" s="69">
        <f t="shared" si="4"/>
        <v>1733800</v>
      </c>
      <c r="G19" s="69"/>
      <c r="H19" s="70">
        <v>1733800</v>
      </c>
      <c r="I19" s="69">
        <f t="shared" si="5"/>
        <v>11049010.359999999</v>
      </c>
      <c r="J19" s="69"/>
      <c r="K19" s="69">
        <v>9477337.9879999999</v>
      </c>
      <c r="L19" s="69"/>
      <c r="M19" s="69"/>
      <c r="N19" s="69">
        <f t="shared" si="6"/>
        <v>1571672.372</v>
      </c>
      <c r="O19" s="71"/>
      <c r="P19" s="72">
        <v>1571672.372</v>
      </c>
      <c r="Q19" s="71"/>
      <c r="R19" s="71"/>
      <c r="S19" s="63">
        <f t="shared" si="1"/>
        <v>90.528869351405987</v>
      </c>
      <c r="T19" s="73"/>
      <c r="U19" s="73">
        <f t="shared" si="2"/>
        <v>90.508978187389786</v>
      </c>
      <c r="V19" s="74"/>
      <c r="W19" s="74">
        <f t="shared" si="7"/>
        <v>90.64900057676779</v>
      </c>
    </row>
    <row r="20" spans="1:24" ht="25.2" customHeight="1" x14ac:dyDescent="0.35">
      <c r="A20" s="67">
        <v>9</v>
      </c>
      <c r="B20" s="68" t="s">
        <v>165</v>
      </c>
      <c r="C20" s="69">
        <f t="shared" si="3"/>
        <v>7645968.682</v>
      </c>
      <c r="D20" s="69"/>
      <c r="E20" s="70">
        <v>7645968.682</v>
      </c>
      <c r="F20" s="69">
        <f t="shared" si="4"/>
        <v>0</v>
      </c>
      <c r="G20" s="69"/>
      <c r="H20" s="70">
        <v>0</v>
      </c>
      <c r="I20" s="69">
        <f t="shared" si="5"/>
        <v>7623824.1279999996</v>
      </c>
      <c r="J20" s="69"/>
      <c r="K20" s="69">
        <v>7623824.1279999996</v>
      </c>
      <c r="L20" s="69"/>
      <c r="M20" s="69"/>
      <c r="N20" s="69">
        <f t="shared" si="6"/>
        <v>0</v>
      </c>
      <c r="O20" s="71"/>
      <c r="P20" s="72"/>
      <c r="Q20" s="71"/>
      <c r="R20" s="71"/>
      <c r="S20" s="63">
        <f t="shared" si="1"/>
        <v>99.710376082861387</v>
      </c>
      <c r="T20" s="73"/>
      <c r="U20" s="73">
        <f t="shared" si="2"/>
        <v>99.710376082861387</v>
      </c>
      <c r="V20" s="74"/>
      <c r="W20" s="74"/>
    </row>
    <row r="21" spans="1:24" ht="25.2" customHeight="1" x14ac:dyDescent="0.35">
      <c r="A21" s="67">
        <v>10</v>
      </c>
      <c r="B21" s="68" t="s">
        <v>166</v>
      </c>
      <c r="C21" s="69">
        <f t="shared" si="3"/>
        <v>6435927.29</v>
      </c>
      <c r="D21" s="69"/>
      <c r="E21" s="70">
        <v>5525727.29</v>
      </c>
      <c r="F21" s="69">
        <f t="shared" si="4"/>
        <v>910200</v>
      </c>
      <c r="G21" s="69"/>
      <c r="H21" s="70">
        <v>910200</v>
      </c>
      <c r="I21" s="69">
        <f t="shared" si="5"/>
        <v>5695018.517</v>
      </c>
      <c r="J21" s="69"/>
      <c r="K21" s="69">
        <v>5038880.3650000002</v>
      </c>
      <c r="L21" s="69"/>
      <c r="M21" s="69"/>
      <c r="N21" s="69">
        <f t="shared" si="6"/>
        <v>656138.152</v>
      </c>
      <c r="O21" s="71"/>
      <c r="P21" s="75">
        <v>656138.152</v>
      </c>
      <c r="Q21" s="71"/>
      <c r="R21" s="71"/>
      <c r="S21" s="63">
        <f t="shared" si="1"/>
        <v>88.487925055474008</v>
      </c>
      <c r="T21" s="73"/>
      <c r="U21" s="73">
        <f t="shared" si="2"/>
        <v>91.18945073744311</v>
      </c>
      <c r="V21" s="74"/>
      <c r="W21" s="74">
        <f t="shared" si="7"/>
        <v>72.08725027466491</v>
      </c>
    </row>
    <row r="22" spans="1:24" ht="29.4" customHeight="1" x14ac:dyDescent="0.35">
      <c r="A22" s="67">
        <v>11</v>
      </c>
      <c r="B22" s="68" t="s">
        <v>167</v>
      </c>
      <c r="C22" s="69">
        <f t="shared" si="3"/>
        <v>777276.84499999997</v>
      </c>
      <c r="D22" s="69"/>
      <c r="E22" s="70">
        <v>777276.84499999997</v>
      </c>
      <c r="F22" s="69">
        <f t="shared" si="4"/>
        <v>0</v>
      </c>
      <c r="G22" s="69"/>
      <c r="H22" s="70">
        <v>0</v>
      </c>
      <c r="I22" s="69">
        <f t="shared" si="5"/>
        <v>777276.84499999997</v>
      </c>
      <c r="J22" s="69"/>
      <c r="K22" s="69">
        <v>777276.84499999997</v>
      </c>
      <c r="L22" s="69"/>
      <c r="M22" s="69"/>
      <c r="N22" s="69">
        <f t="shared" si="6"/>
        <v>0</v>
      </c>
      <c r="O22" s="71"/>
      <c r="P22" s="72"/>
      <c r="Q22" s="71"/>
      <c r="R22" s="71"/>
      <c r="S22" s="63">
        <f t="shared" si="1"/>
        <v>100</v>
      </c>
      <c r="T22" s="73"/>
      <c r="U22" s="73">
        <f t="shared" si="2"/>
        <v>100</v>
      </c>
      <c r="V22" s="74"/>
      <c r="W22" s="74"/>
    </row>
    <row r="23" spans="1:24" ht="33.6" customHeight="1" x14ac:dyDescent="0.35">
      <c r="A23" s="67">
        <v>12</v>
      </c>
      <c r="B23" s="68" t="s">
        <v>168</v>
      </c>
      <c r="C23" s="69">
        <f t="shared" si="3"/>
        <v>19297363.655999999</v>
      </c>
      <c r="D23" s="69"/>
      <c r="E23" s="70">
        <f>19297363.656-57000</f>
        <v>19240363.655999999</v>
      </c>
      <c r="F23" s="69">
        <f t="shared" si="4"/>
        <v>57000</v>
      </c>
      <c r="G23" s="69"/>
      <c r="H23" s="70">
        <v>57000</v>
      </c>
      <c r="I23" s="69">
        <f t="shared" si="5"/>
        <v>19279673.655999999</v>
      </c>
      <c r="J23" s="69"/>
      <c r="K23" s="69">
        <v>19222673.655999999</v>
      </c>
      <c r="L23" s="69"/>
      <c r="M23" s="69"/>
      <c r="N23" s="69">
        <f t="shared" si="6"/>
        <v>57000</v>
      </c>
      <c r="O23" s="71"/>
      <c r="P23" s="72">
        <v>57000</v>
      </c>
      <c r="Q23" s="71"/>
      <c r="R23" s="71"/>
      <c r="S23" s="63">
        <f t="shared" si="1"/>
        <v>99.908329446885361</v>
      </c>
      <c r="T23" s="73"/>
      <c r="U23" s="73">
        <f t="shared" si="2"/>
        <v>99.908057870857945</v>
      </c>
      <c r="V23" s="74"/>
      <c r="W23" s="74">
        <f t="shared" si="7"/>
        <v>100</v>
      </c>
    </row>
    <row r="24" spans="1:24" ht="33.6" customHeight="1" x14ac:dyDescent="0.35">
      <c r="A24" s="67">
        <v>13</v>
      </c>
      <c r="B24" s="68" t="s">
        <v>169</v>
      </c>
      <c r="C24" s="69">
        <f t="shared" si="3"/>
        <v>1607215.068</v>
      </c>
      <c r="D24" s="76">
        <v>1607215.068</v>
      </c>
      <c r="E24" s="69"/>
      <c r="F24" s="69">
        <f t="shared" si="4"/>
        <v>0</v>
      </c>
      <c r="G24" s="71">
        <v>0</v>
      </c>
      <c r="H24" s="69"/>
      <c r="I24" s="69">
        <f t="shared" si="5"/>
        <v>1607215.068</v>
      </c>
      <c r="J24" s="69">
        <v>1607215.068</v>
      </c>
      <c r="K24" s="69"/>
      <c r="L24" s="69"/>
      <c r="M24" s="69"/>
      <c r="N24" s="69">
        <f t="shared" si="6"/>
        <v>0</v>
      </c>
      <c r="O24" s="71"/>
      <c r="P24" s="72"/>
      <c r="Q24" s="71"/>
      <c r="R24" s="71"/>
      <c r="S24" s="63">
        <f t="shared" si="1"/>
        <v>100</v>
      </c>
      <c r="T24" s="73">
        <f t="shared" si="1"/>
        <v>100</v>
      </c>
      <c r="U24" s="73"/>
      <c r="V24" s="74"/>
      <c r="W24" s="74"/>
      <c r="X24" s="77"/>
    </row>
    <row r="25" spans="1:24" ht="33.6" customHeight="1" x14ac:dyDescent="0.35">
      <c r="A25" s="67">
        <v>14</v>
      </c>
      <c r="B25" s="68" t="s">
        <v>170</v>
      </c>
      <c r="C25" s="69">
        <f t="shared" si="3"/>
        <v>890000</v>
      </c>
      <c r="D25" s="78">
        <v>890000</v>
      </c>
      <c r="E25" s="69"/>
      <c r="F25" s="69">
        <f t="shared" si="4"/>
        <v>0</v>
      </c>
      <c r="G25" s="71">
        <v>0</v>
      </c>
      <c r="H25" s="69"/>
      <c r="I25" s="69">
        <f t="shared" si="5"/>
        <v>890000</v>
      </c>
      <c r="J25" s="69">
        <v>890000</v>
      </c>
      <c r="K25" s="69"/>
      <c r="L25" s="69"/>
      <c r="M25" s="69"/>
      <c r="N25" s="69">
        <f t="shared" si="6"/>
        <v>0</v>
      </c>
      <c r="O25" s="71"/>
      <c r="P25" s="72"/>
      <c r="Q25" s="71"/>
      <c r="R25" s="71"/>
      <c r="S25" s="63">
        <f t="shared" si="1"/>
        <v>100</v>
      </c>
      <c r="T25" s="73">
        <f t="shared" si="1"/>
        <v>100</v>
      </c>
      <c r="U25" s="73"/>
      <c r="V25" s="74"/>
      <c r="W25" s="74"/>
    </row>
    <row r="26" spans="1:24" ht="33.6" customHeight="1" x14ac:dyDescent="0.35">
      <c r="A26" s="67">
        <v>15</v>
      </c>
      <c r="B26" s="68" t="s">
        <v>171</v>
      </c>
      <c r="C26" s="69">
        <f t="shared" si="3"/>
        <v>22800</v>
      </c>
      <c r="D26" s="69"/>
      <c r="E26" s="69"/>
      <c r="F26" s="69">
        <f t="shared" si="4"/>
        <v>22800</v>
      </c>
      <c r="G26" s="71">
        <v>22800</v>
      </c>
      <c r="H26" s="69"/>
      <c r="I26" s="69">
        <f t="shared" si="5"/>
        <v>19683.485000000001</v>
      </c>
      <c r="J26" s="69"/>
      <c r="K26" s="69"/>
      <c r="L26" s="69"/>
      <c r="M26" s="69"/>
      <c r="N26" s="69">
        <f t="shared" si="6"/>
        <v>19683.485000000001</v>
      </c>
      <c r="O26" s="71">
        <v>19683.485000000001</v>
      </c>
      <c r="P26" s="72"/>
      <c r="Q26" s="71"/>
      <c r="R26" s="71"/>
      <c r="S26" s="63">
        <f t="shared" si="1"/>
        <v>86.331074561403511</v>
      </c>
      <c r="T26" s="73"/>
      <c r="U26" s="73"/>
      <c r="V26" s="74">
        <f t="shared" ref="V26:V83" si="8">O26/G26*100</f>
        <v>86.331074561403511</v>
      </c>
      <c r="W26" s="74"/>
    </row>
    <row r="27" spans="1:24" ht="52.8" customHeight="1" x14ac:dyDescent="0.35">
      <c r="A27" s="67">
        <v>16</v>
      </c>
      <c r="B27" s="68" t="s">
        <v>172</v>
      </c>
      <c r="C27" s="69">
        <f t="shared" si="3"/>
        <v>36885</v>
      </c>
      <c r="D27" s="69"/>
      <c r="E27" s="69"/>
      <c r="F27" s="69">
        <f t="shared" si="4"/>
        <v>36885</v>
      </c>
      <c r="G27" s="71">
        <v>36885</v>
      </c>
      <c r="H27" s="69"/>
      <c r="I27" s="69">
        <f t="shared" si="5"/>
        <v>33623.781999999999</v>
      </c>
      <c r="J27" s="69"/>
      <c r="K27" s="69"/>
      <c r="L27" s="69"/>
      <c r="M27" s="69"/>
      <c r="N27" s="69">
        <f t="shared" si="6"/>
        <v>33623.781999999999</v>
      </c>
      <c r="O27" s="71">
        <v>33623.781999999999</v>
      </c>
      <c r="P27" s="72"/>
      <c r="Q27" s="71"/>
      <c r="R27" s="71"/>
      <c r="S27" s="63">
        <f t="shared" si="1"/>
        <v>91.158416700555776</v>
      </c>
      <c r="T27" s="73"/>
      <c r="U27" s="73"/>
      <c r="V27" s="74">
        <f t="shared" si="8"/>
        <v>91.158416700555776</v>
      </c>
      <c r="W27" s="74"/>
    </row>
    <row r="28" spans="1:24" ht="33.6" customHeight="1" x14ac:dyDescent="0.35">
      <c r="A28" s="67">
        <v>17</v>
      </c>
      <c r="B28" s="68" t="s">
        <v>173</v>
      </c>
      <c r="C28" s="69">
        <f t="shared" si="3"/>
        <v>73617.929999999993</v>
      </c>
      <c r="D28" s="69"/>
      <c r="E28" s="69"/>
      <c r="F28" s="69">
        <f t="shared" si="4"/>
        <v>73617.929999999993</v>
      </c>
      <c r="G28" s="71">
        <v>73617.929999999993</v>
      </c>
      <c r="H28" s="69"/>
      <c r="I28" s="69">
        <f t="shared" si="5"/>
        <v>46042.218999999997</v>
      </c>
      <c r="J28" s="69"/>
      <c r="K28" s="69"/>
      <c r="L28" s="69"/>
      <c r="M28" s="69"/>
      <c r="N28" s="69">
        <f t="shared" si="6"/>
        <v>46042.218999999997</v>
      </c>
      <c r="O28" s="71">
        <v>46042.218999999997</v>
      </c>
      <c r="P28" s="72"/>
      <c r="Q28" s="71"/>
      <c r="R28" s="71"/>
      <c r="S28" s="63">
        <f t="shared" si="1"/>
        <v>62.542126625945613</v>
      </c>
      <c r="T28" s="73"/>
      <c r="U28" s="73"/>
      <c r="V28" s="74">
        <f t="shared" si="8"/>
        <v>62.542126625945613</v>
      </c>
      <c r="W28" s="74"/>
    </row>
    <row r="29" spans="1:24" ht="33.6" customHeight="1" x14ac:dyDescent="0.35">
      <c r="A29" s="67">
        <v>18</v>
      </c>
      <c r="B29" s="68" t="s">
        <v>174</v>
      </c>
      <c r="C29" s="69">
        <f t="shared" si="3"/>
        <v>150000</v>
      </c>
      <c r="D29" s="78">
        <v>150000</v>
      </c>
      <c r="E29" s="69"/>
      <c r="F29" s="69">
        <f t="shared" si="4"/>
        <v>0</v>
      </c>
      <c r="G29" s="71">
        <v>0</v>
      </c>
      <c r="H29" s="69"/>
      <c r="I29" s="69">
        <f t="shared" si="5"/>
        <v>150000</v>
      </c>
      <c r="J29" s="69">
        <v>150000</v>
      </c>
      <c r="K29" s="69"/>
      <c r="L29" s="69"/>
      <c r="M29" s="69"/>
      <c r="N29" s="69">
        <f t="shared" si="6"/>
        <v>0</v>
      </c>
      <c r="O29" s="71"/>
      <c r="P29" s="72"/>
      <c r="Q29" s="71"/>
      <c r="R29" s="71"/>
      <c r="S29" s="63">
        <f t="shared" si="1"/>
        <v>100</v>
      </c>
      <c r="T29" s="73">
        <f t="shared" si="1"/>
        <v>100</v>
      </c>
      <c r="U29" s="73"/>
      <c r="V29" s="74"/>
      <c r="W29" s="74"/>
    </row>
    <row r="30" spans="1:24" ht="39.6" customHeight="1" x14ac:dyDescent="0.35">
      <c r="A30" s="67">
        <v>19</v>
      </c>
      <c r="B30" s="68" t="s">
        <v>175</v>
      </c>
      <c r="C30" s="69">
        <f t="shared" si="3"/>
        <v>26700</v>
      </c>
      <c r="D30" s="69"/>
      <c r="E30" s="69"/>
      <c r="F30" s="69">
        <f t="shared" si="4"/>
        <v>26700</v>
      </c>
      <c r="G30" s="71">
        <v>26700</v>
      </c>
      <c r="H30" s="69"/>
      <c r="I30" s="69">
        <f t="shared" si="5"/>
        <v>15941.031999999999</v>
      </c>
      <c r="J30" s="69"/>
      <c r="K30" s="69"/>
      <c r="L30" s="69"/>
      <c r="M30" s="69"/>
      <c r="N30" s="69">
        <f t="shared" si="6"/>
        <v>15941.031999999999</v>
      </c>
      <c r="O30" s="71">
        <v>15941.031999999999</v>
      </c>
      <c r="P30" s="72"/>
      <c r="Q30" s="71"/>
      <c r="R30" s="71"/>
      <c r="S30" s="63">
        <f t="shared" si="1"/>
        <v>59.704239700374529</v>
      </c>
      <c r="T30" s="73"/>
      <c r="U30" s="73"/>
      <c r="V30" s="74">
        <f t="shared" si="8"/>
        <v>59.704239700374529</v>
      </c>
      <c r="W30" s="74"/>
    </row>
    <row r="31" spans="1:24" ht="49.8" customHeight="1" x14ac:dyDescent="0.35">
      <c r="A31" s="67">
        <v>20</v>
      </c>
      <c r="B31" s="68" t="s">
        <v>176</v>
      </c>
      <c r="C31" s="69">
        <f t="shared" si="3"/>
        <v>616000</v>
      </c>
      <c r="D31" s="69"/>
      <c r="E31" s="69"/>
      <c r="F31" s="69">
        <f t="shared" si="4"/>
        <v>616000</v>
      </c>
      <c r="G31" s="71">
        <v>616000</v>
      </c>
      <c r="H31" s="69"/>
      <c r="I31" s="69">
        <f t="shared" si="5"/>
        <v>616000</v>
      </c>
      <c r="J31" s="69"/>
      <c r="K31" s="69"/>
      <c r="L31" s="69"/>
      <c r="M31" s="69"/>
      <c r="N31" s="69">
        <f t="shared" si="6"/>
        <v>616000</v>
      </c>
      <c r="O31" s="71">
        <v>616000</v>
      </c>
      <c r="P31" s="72"/>
      <c r="Q31" s="71"/>
      <c r="R31" s="71"/>
      <c r="S31" s="63">
        <f t="shared" si="1"/>
        <v>100</v>
      </c>
      <c r="T31" s="73"/>
      <c r="U31" s="73"/>
      <c r="V31" s="74">
        <f t="shared" si="8"/>
        <v>100</v>
      </c>
      <c r="W31" s="74"/>
    </row>
    <row r="32" spans="1:24" ht="33.6" customHeight="1" x14ac:dyDescent="0.35">
      <c r="A32" s="67">
        <v>21</v>
      </c>
      <c r="B32" s="68" t="s">
        <v>177</v>
      </c>
      <c r="C32" s="69">
        <f t="shared" si="3"/>
        <v>125100</v>
      </c>
      <c r="D32" s="69"/>
      <c r="E32" s="69"/>
      <c r="F32" s="69">
        <f t="shared" si="4"/>
        <v>125100</v>
      </c>
      <c r="G32" s="71">
        <v>125100</v>
      </c>
      <c r="H32" s="69"/>
      <c r="I32" s="69">
        <f t="shared" si="5"/>
        <v>115685.11599999999</v>
      </c>
      <c r="J32" s="69"/>
      <c r="K32" s="69"/>
      <c r="L32" s="69"/>
      <c r="M32" s="69"/>
      <c r="N32" s="69">
        <f t="shared" si="6"/>
        <v>115685.11599999999</v>
      </c>
      <c r="O32" s="71">
        <v>115685.11599999999</v>
      </c>
      <c r="P32" s="72"/>
      <c r="Q32" s="71"/>
      <c r="R32" s="71"/>
      <c r="S32" s="63">
        <f t="shared" si="1"/>
        <v>92.474113509192648</v>
      </c>
      <c r="T32" s="73"/>
      <c r="U32" s="73"/>
      <c r="V32" s="74">
        <f t="shared" si="8"/>
        <v>92.474113509192648</v>
      </c>
      <c r="W32" s="74"/>
    </row>
    <row r="33" spans="1:23" ht="33.6" customHeight="1" x14ac:dyDescent="0.35">
      <c r="A33" s="67">
        <v>22</v>
      </c>
      <c r="B33" s="68" t="s">
        <v>178</v>
      </c>
      <c r="C33" s="69">
        <f t="shared" si="3"/>
        <v>70700</v>
      </c>
      <c r="D33" s="69"/>
      <c r="E33" s="69"/>
      <c r="F33" s="69">
        <f t="shared" si="4"/>
        <v>70700</v>
      </c>
      <c r="G33" s="71">
        <v>70700</v>
      </c>
      <c r="H33" s="69"/>
      <c r="I33" s="69">
        <f t="shared" si="5"/>
        <v>61285.116000000002</v>
      </c>
      <c r="J33" s="69"/>
      <c r="K33" s="69"/>
      <c r="L33" s="69"/>
      <c r="M33" s="69"/>
      <c r="N33" s="69">
        <f t="shared" si="6"/>
        <v>61285.116000000002</v>
      </c>
      <c r="O33" s="71">
        <v>61285.116000000002</v>
      </c>
      <c r="P33" s="72"/>
      <c r="Q33" s="71"/>
      <c r="R33" s="71"/>
      <c r="S33" s="63">
        <f t="shared" si="1"/>
        <v>86.683332390381892</v>
      </c>
      <c r="T33" s="73"/>
      <c r="U33" s="73"/>
      <c r="V33" s="74">
        <f t="shared" si="8"/>
        <v>86.683332390381892</v>
      </c>
      <c r="W33" s="74"/>
    </row>
    <row r="34" spans="1:23" ht="33.6" customHeight="1" x14ac:dyDescent="0.35">
      <c r="A34" s="67">
        <v>23</v>
      </c>
      <c r="B34" s="68" t="s">
        <v>179</v>
      </c>
      <c r="C34" s="69">
        <f t="shared" si="3"/>
        <v>57614.163999999997</v>
      </c>
      <c r="D34" s="69"/>
      <c r="E34" s="69"/>
      <c r="F34" s="69">
        <f t="shared" si="4"/>
        <v>57614.163999999997</v>
      </c>
      <c r="G34" s="71">
        <v>57614.163999999997</v>
      </c>
      <c r="H34" s="69"/>
      <c r="I34" s="69">
        <f t="shared" si="5"/>
        <v>48199.28</v>
      </c>
      <c r="J34" s="69"/>
      <c r="K34" s="69"/>
      <c r="L34" s="69"/>
      <c r="M34" s="69"/>
      <c r="N34" s="69">
        <f t="shared" si="6"/>
        <v>48199.28</v>
      </c>
      <c r="O34" s="71">
        <v>48199.28</v>
      </c>
      <c r="P34" s="72"/>
      <c r="Q34" s="71"/>
      <c r="R34" s="71"/>
      <c r="S34" s="63">
        <f t="shared" si="1"/>
        <v>83.658733640567974</v>
      </c>
      <c r="T34" s="73"/>
      <c r="U34" s="73"/>
      <c r="V34" s="74">
        <f t="shared" si="8"/>
        <v>83.658733640567974</v>
      </c>
      <c r="W34" s="74"/>
    </row>
    <row r="35" spans="1:23" ht="33.6" customHeight="1" x14ac:dyDescent="0.35">
      <c r="A35" s="67">
        <v>24</v>
      </c>
      <c r="B35" s="68" t="s">
        <v>180</v>
      </c>
      <c r="C35" s="69">
        <f t="shared" si="3"/>
        <v>61600</v>
      </c>
      <c r="D35" s="69"/>
      <c r="E35" s="69"/>
      <c r="F35" s="69">
        <f t="shared" si="4"/>
        <v>61600</v>
      </c>
      <c r="G35" s="71">
        <v>61600</v>
      </c>
      <c r="H35" s="69"/>
      <c r="I35" s="69">
        <f t="shared" si="5"/>
        <v>61578.336000000003</v>
      </c>
      <c r="J35" s="69"/>
      <c r="K35" s="69"/>
      <c r="L35" s="69"/>
      <c r="M35" s="69"/>
      <c r="N35" s="69">
        <f t="shared" si="6"/>
        <v>61578.336000000003</v>
      </c>
      <c r="O35" s="71">
        <v>61578.336000000003</v>
      </c>
      <c r="P35" s="72"/>
      <c r="Q35" s="71"/>
      <c r="R35" s="71"/>
      <c r="S35" s="63">
        <f t="shared" si="1"/>
        <v>99.964831168831168</v>
      </c>
      <c r="T35" s="73"/>
      <c r="U35" s="73"/>
      <c r="V35" s="74">
        <f t="shared" si="8"/>
        <v>99.964831168831168</v>
      </c>
      <c r="W35" s="74"/>
    </row>
    <row r="36" spans="1:23" ht="33.6" customHeight="1" x14ac:dyDescent="0.35">
      <c r="A36" s="67">
        <v>25</v>
      </c>
      <c r="B36" s="68" t="s">
        <v>181</v>
      </c>
      <c r="C36" s="69">
        <f t="shared" si="3"/>
        <v>41300</v>
      </c>
      <c r="D36" s="69"/>
      <c r="E36" s="69"/>
      <c r="F36" s="69">
        <f t="shared" si="4"/>
        <v>41300</v>
      </c>
      <c r="G36" s="71">
        <v>41300</v>
      </c>
      <c r="H36" s="69"/>
      <c r="I36" s="69">
        <f t="shared" si="5"/>
        <v>39363.226999999999</v>
      </c>
      <c r="J36" s="69"/>
      <c r="K36" s="69"/>
      <c r="L36" s="69"/>
      <c r="M36" s="69"/>
      <c r="N36" s="69">
        <f t="shared" si="6"/>
        <v>39363.226999999999</v>
      </c>
      <c r="O36" s="71">
        <v>39363.226999999999</v>
      </c>
      <c r="P36" s="72"/>
      <c r="Q36" s="71"/>
      <c r="R36" s="71"/>
      <c r="S36" s="63">
        <f t="shared" si="1"/>
        <v>95.310476997578689</v>
      </c>
      <c r="T36" s="73"/>
      <c r="U36" s="73"/>
      <c r="V36" s="74">
        <f t="shared" si="8"/>
        <v>95.310476997578689</v>
      </c>
      <c r="W36" s="74"/>
    </row>
    <row r="37" spans="1:23" ht="33.6" customHeight="1" x14ac:dyDescent="0.35">
      <c r="A37" s="67">
        <v>26</v>
      </c>
      <c r="B37" s="68" t="s">
        <v>182</v>
      </c>
      <c r="C37" s="69">
        <f t="shared" si="3"/>
        <v>36600</v>
      </c>
      <c r="D37" s="69"/>
      <c r="E37" s="69"/>
      <c r="F37" s="69">
        <f t="shared" si="4"/>
        <v>36600</v>
      </c>
      <c r="G37" s="71">
        <v>36600</v>
      </c>
      <c r="H37" s="69"/>
      <c r="I37" s="69">
        <f t="shared" si="5"/>
        <v>27895.572</v>
      </c>
      <c r="J37" s="69"/>
      <c r="K37" s="69"/>
      <c r="L37" s="69"/>
      <c r="M37" s="69"/>
      <c r="N37" s="69">
        <f t="shared" si="6"/>
        <v>27895.572</v>
      </c>
      <c r="O37" s="71">
        <v>27895.572</v>
      </c>
      <c r="P37" s="72"/>
      <c r="Q37" s="71"/>
      <c r="R37" s="71"/>
      <c r="S37" s="63">
        <f t="shared" si="1"/>
        <v>76.217409836065571</v>
      </c>
      <c r="T37" s="73"/>
      <c r="U37" s="73"/>
      <c r="V37" s="74">
        <f t="shared" si="8"/>
        <v>76.217409836065571</v>
      </c>
      <c r="W37" s="74"/>
    </row>
    <row r="38" spans="1:23" ht="33.6" customHeight="1" x14ac:dyDescent="0.35">
      <c r="A38" s="67">
        <v>27</v>
      </c>
      <c r="B38" s="68" t="s">
        <v>183</v>
      </c>
      <c r="C38" s="69">
        <f t="shared" si="3"/>
        <v>164500</v>
      </c>
      <c r="D38" s="69"/>
      <c r="E38" s="69"/>
      <c r="F38" s="69">
        <f t="shared" si="4"/>
        <v>164500</v>
      </c>
      <c r="G38" s="71">
        <v>164500</v>
      </c>
      <c r="H38" s="69"/>
      <c r="I38" s="69">
        <f t="shared" si="5"/>
        <v>146118.44</v>
      </c>
      <c r="J38" s="69"/>
      <c r="K38" s="69"/>
      <c r="L38" s="69"/>
      <c r="M38" s="69"/>
      <c r="N38" s="69">
        <f t="shared" si="6"/>
        <v>146118.44</v>
      </c>
      <c r="O38" s="71">
        <v>146118.44</v>
      </c>
      <c r="P38" s="72"/>
      <c r="Q38" s="71"/>
      <c r="R38" s="71"/>
      <c r="S38" s="63">
        <f t="shared" si="1"/>
        <v>88.825799392097267</v>
      </c>
      <c r="T38" s="73"/>
      <c r="U38" s="73"/>
      <c r="V38" s="74">
        <f t="shared" si="8"/>
        <v>88.825799392097267</v>
      </c>
      <c r="W38" s="74"/>
    </row>
    <row r="39" spans="1:23" ht="43.2" customHeight="1" x14ac:dyDescent="0.35">
      <c r="A39" s="67">
        <v>28</v>
      </c>
      <c r="B39" s="68" t="s">
        <v>184</v>
      </c>
      <c r="C39" s="69">
        <f t="shared" si="3"/>
        <v>216100</v>
      </c>
      <c r="D39" s="69"/>
      <c r="E39" s="69"/>
      <c r="F39" s="69">
        <f t="shared" si="4"/>
        <v>216100</v>
      </c>
      <c r="G39" s="71">
        <v>216100</v>
      </c>
      <c r="H39" s="69"/>
      <c r="I39" s="69">
        <f t="shared" si="5"/>
        <v>91124.122000000003</v>
      </c>
      <c r="J39" s="69"/>
      <c r="K39" s="69"/>
      <c r="L39" s="69"/>
      <c r="M39" s="69"/>
      <c r="N39" s="69">
        <f t="shared" si="6"/>
        <v>91124.122000000003</v>
      </c>
      <c r="O39" s="71">
        <v>91124.122000000003</v>
      </c>
      <c r="P39" s="72"/>
      <c r="Q39" s="71"/>
      <c r="R39" s="71"/>
      <c r="S39" s="63">
        <f t="shared" si="1"/>
        <v>42.167571494678391</v>
      </c>
      <c r="T39" s="73"/>
      <c r="U39" s="73"/>
      <c r="V39" s="74">
        <f t="shared" si="8"/>
        <v>42.167571494678391</v>
      </c>
      <c r="W39" s="74"/>
    </row>
    <row r="40" spans="1:23" ht="42.6" customHeight="1" x14ac:dyDescent="0.35">
      <c r="A40" s="67">
        <v>29</v>
      </c>
      <c r="B40" s="68" t="s">
        <v>185</v>
      </c>
      <c r="C40" s="69">
        <f t="shared" si="3"/>
        <v>9400</v>
      </c>
      <c r="D40" s="69"/>
      <c r="E40" s="69"/>
      <c r="F40" s="69">
        <f t="shared" si="4"/>
        <v>9400</v>
      </c>
      <c r="G40" s="71">
        <v>9400</v>
      </c>
      <c r="H40" s="69"/>
      <c r="I40" s="69">
        <f t="shared" si="5"/>
        <v>242.108</v>
      </c>
      <c r="J40" s="69"/>
      <c r="K40" s="69"/>
      <c r="L40" s="69"/>
      <c r="M40" s="69"/>
      <c r="N40" s="69">
        <f t="shared" si="6"/>
        <v>242.108</v>
      </c>
      <c r="O40" s="71">
        <v>242.108</v>
      </c>
      <c r="P40" s="72"/>
      <c r="Q40" s="71"/>
      <c r="R40" s="71"/>
      <c r="S40" s="63">
        <f t="shared" si="1"/>
        <v>2.5756170212765959</v>
      </c>
      <c r="T40" s="73"/>
      <c r="U40" s="73"/>
      <c r="V40" s="74">
        <f t="shared" si="8"/>
        <v>2.5756170212765959</v>
      </c>
      <c r="W40" s="74"/>
    </row>
    <row r="41" spans="1:23" ht="47.4" customHeight="1" x14ac:dyDescent="0.35">
      <c r="A41" s="67">
        <v>30</v>
      </c>
      <c r="B41" s="68" t="s">
        <v>186</v>
      </c>
      <c r="C41" s="69">
        <f t="shared" si="3"/>
        <v>34600</v>
      </c>
      <c r="D41" s="69"/>
      <c r="E41" s="69"/>
      <c r="F41" s="69">
        <f t="shared" si="4"/>
        <v>34600</v>
      </c>
      <c r="G41" s="71">
        <v>34600</v>
      </c>
      <c r="H41" s="69"/>
      <c r="I41" s="69">
        <f t="shared" si="5"/>
        <v>16087.029</v>
      </c>
      <c r="J41" s="69"/>
      <c r="K41" s="69"/>
      <c r="L41" s="69"/>
      <c r="M41" s="69"/>
      <c r="N41" s="69">
        <f t="shared" si="6"/>
        <v>16087.029</v>
      </c>
      <c r="O41" s="71">
        <v>16087.029</v>
      </c>
      <c r="P41" s="72"/>
      <c r="Q41" s="71"/>
      <c r="R41" s="71"/>
      <c r="S41" s="63">
        <f t="shared" si="1"/>
        <v>46.494303468208095</v>
      </c>
      <c r="T41" s="73"/>
      <c r="U41" s="73"/>
      <c r="V41" s="74">
        <f t="shared" si="8"/>
        <v>46.494303468208095</v>
      </c>
      <c r="W41" s="74"/>
    </row>
    <row r="42" spans="1:23" ht="47.4" customHeight="1" x14ac:dyDescent="0.35">
      <c r="A42" s="67">
        <v>31</v>
      </c>
      <c r="B42" s="68" t="s">
        <v>187</v>
      </c>
      <c r="C42" s="69">
        <f t="shared" si="3"/>
        <v>114600</v>
      </c>
      <c r="D42" s="69"/>
      <c r="E42" s="69"/>
      <c r="F42" s="69">
        <f t="shared" si="4"/>
        <v>114600</v>
      </c>
      <c r="G42" s="71">
        <v>114600</v>
      </c>
      <c r="H42" s="69"/>
      <c r="I42" s="69">
        <f t="shared" si="5"/>
        <v>108965.52499999999</v>
      </c>
      <c r="J42" s="69"/>
      <c r="K42" s="69"/>
      <c r="L42" s="69"/>
      <c r="M42" s="69"/>
      <c r="N42" s="69">
        <f t="shared" si="6"/>
        <v>108965.52499999999</v>
      </c>
      <c r="O42" s="71">
        <v>108965.52499999999</v>
      </c>
      <c r="P42" s="72"/>
      <c r="Q42" s="71"/>
      <c r="R42" s="71"/>
      <c r="S42" s="63">
        <f t="shared" si="1"/>
        <v>95.083355148342051</v>
      </c>
      <c r="T42" s="73"/>
      <c r="U42" s="73"/>
      <c r="V42" s="74">
        <f t="shared" si="8"/>
        <v>95.083355148342051</v>
      </c>
      <c r="W42" s="74"/>
    </row>
    <row r="43" spans="1:23" ht="33.6" customHeight="1" x14ac:dyDescent="0.35">
      <c r="A43" s="67">
        <v>32</v>
      </c>
      <c r="B43" s="68" t="s">
        <v>188</v>
      </c>
      <c r="C43" s="69">
        <f t="shared" si="3"/>
        <v>44061</v>
      </c>
      <c r="D43" s="69"/>
      <c r="E43" s="69"/>
      <c r="F43" s="69">
        <f t="shared" si="4"/>
        <v>44061</v>
      </c>
      <c r="G43" s="71">
        <v>44061</v>
      </c>
      <c r="H43" s="69"/>
      <c r="I43" s="69">
        <f t="shared" si="5"/>
        <v>27426.434000000001</v>
      </c>
      <c r="J43" s="69"/>
      <c r="K43" s="69"/>
      <c r="L43" s="69"/>
      <c r="M43" s="69"/>
      <c r="N43" s="69">
        <f t="shared" si="6"/>
        <v>27426.434000000001</v>
      </c>
      <c r="O43" s="71">
        <v>27426.434000000001</v>
      </c>
      <c r="P43" s="72"/>
      <c r="Q43" s="71"/>
      <c r="R43" s="71"/>
      <c r="S43" s="63">
        <f t="shared" si="1"/>
        <v>62.246508249926237</v>
      </c>
      <c r="T43" s="73"/>
      <c r="U43" s="73"/>
      <c r="V43" s="74">
        <f t="shared" si="8"/>
        <v>62.246508249926237</v>
      </c>
      <c r="W43" s="74"/>
    </row>
    <row r="44" spans="1:23" ht="33.6" customHeight="1" x14ac:dyDescent="0.35">
      <c r="A44" s="67">
        <v>33</v>
      </c>
      <c r="B44" s="68" t="s">
        <v>189</v>
      </c>
      <c r="C44" s="69">
        <f t="shared" si="3"/>
        <v>20700</v>
      </c>
      <c r="D44" s="69"/>
      <c r="E44" s="69"/>
      <c r="F44" s="69">
        <f t="shared" si="4"/>
        <v>20700</v>
      </c>
      <c r="G44" s="71">
        <v>20700</v>
      </c>
      <c r="H44" s="69"/>
      <c r="I44" s="69">
        <f t="shared" si="5"/>
        <v>11704.317999999999</v>
      </c>
      <c r="J44" s="69"/>
      <c r="K44" s="69"/>
      <c r="L44" s="69"/>
      <c r="M44" s="69"/>
      <c r="N44" s="69">
        <f t="shared" si="6"/>
        <v>11704.317999999999</v>
      </c>
      <c r="O44" s="71">
        <v>11704.317999999999</v>
      </c>
      <c r="P44" s="72"/>
      <c r="Q44" s="71"/>
      <c r="R44" s="71"/>
      <c r="S44" s="63">
        <f t="shared" si="1"/>
        <v>56.542599033816423</v>
      </c>
      <c r="T44" s="73"/>
      <c r="U44" s="73"/>
      <c r="V44" s="74">
        <f t="shared" si="8"/>
        <v>56.542599033816423</v>
      </c>
      <c r="W44" s="74"/>
    </row>
    <row r="45" spans="1:23" ht="33.6" customHeight="1" x14ac:dyDescent="0.35">
      <c r="A45" s="67">
        <v>34</v>
      </c>
      <c r="B45" s="68" t="s">
        <v>190</v>
      </c>
      <c r="C45" s="69">
        <f t="shared" si="3"/>
        <v>109667</v>
      </c>
      <c r="D45" s="69"/>
      <c r="E45" s="69"/>
      <c r="F45" s="69">
        <f t="shared" si="4"/>
        <v>109667</v>
      </c>
      <c r="G45" s="71">
        <v>109667</v>
      </c>
      <c r="H45" s="69"/>
      <c r="I45" s="69">
        <f t="shared" si="5"/>
        <v>90865.612999999998</v>
      </c>
      <c r="J45" s="69"/>
      <c r="K45" s="69"/>
      <c r="L45" s="69"/>
      <c r="M45" s="69"/>
      <c r="N45" s="69">
        <f t="shared" si="6"/>
        <v>90865.612999999998</v>
      </c>
      <c r="O45" s="71">
        <v>90865.612999999998</v>
      </c>
      <c r="P45" s="72"/>
      <c r="Q45" s="71"/>
      <c r="R45" s="71"/>
      <c r="S45" s="63">
        <f t="shared" si="1"/>
        <v>82.855930225136092</v>
      </c>
      <c r="T45" s="73"/>
      <c r="U45" s="73"/>
      <c r="V45" s="74">
        <f t="shared" si="8"/>
        <v>82.855930225136092</v>
      </c>
      <c r="W45" s="74"/>
    </row>
    <row r="46" spans="1:23" ht="33.6" customHeight="1" x14ac:dyDescent="0.35">
      <c r="A46" s="67">
        <v>35</v>
      </c>
      <c r="B46" s="68" t="s">
        <v>191</v>
      </c>
      <c r="C46" s="69">
        <f t="shared" si="3"/>
        <v>69000</v>
      </c>
      <c r="D46" s="69"/>
      <c r="E46" s="69"/>
      <c r="F46" s="69">
        <f t="shared" si="4"/>
        <v>69000</v>
      </c>
      <c r="G46" s="71">
        <v>69000</v>
      </c>
      <c r="H46" s="69"/>
      <c r="I46" s="69">
        <f t="shared" si="5"/>
        <v>54948.116999999998</v>
      </c>
      <c r="J46" s="69"/>
      <c r="K46" s="69"/>
      <c r="L46" s="69"/>
      <c r="M46" s="69"/>
      <c r="N46" s="69">
        <f t="shared" si="6"/>
        <v>54948.116999999998</v>
      </c>
      <c r="O46" s="71">
        <v>54948.116999999998</v>
      </c>
      <c r="P46" s="72"/>
      <c r="Q46" s="71"/>
      <c r="R46" s="71"/>
      <c r="S46" s="63">
        <f t="shared" si="1"/>
        <v>79.634952173913049</v>
      </c>
      <c r="T46" s="73"/>
      <c r="U46" s="73"/>
      <c r="V46" s="74">
        <f t="shared" si="8"/>
        <v>79.634952173913049</v>
      </c>
      <c r="W46" s="74"/>
    </row>
    <row r="47" spans="1:23" ht="33.6" customHeight="1" x14ac:dyDescent="0.35">
      <c r="A47" s="67">
        <v>36</v>
      </c>
      <c r="B47" s="68" t="s">
        <v>192</v>
      </c>
      <c r="C47" s="69">
        <f t="shared" si="3"/>
        <v>12700</v>
      </c>
      <c r="D47" s="69"/>
      <c r="E47" s="69"/>
      <c r="F47" s="69">
        <f t="shared" si="4"/>
        <v>12700</v>
      </c>
      <c r="G47" s="71">
        <v>12700</v>
      </c>
      <c r="H47" s="69"/>
      <c r="I47" s="69">
        <f t="shared" si="5"/>
        <v>5890.8829999999998</v>
      </c>
      <c r="J47" s="69"/>
      <c r="K47" s="69"/>
      <c r="L47" s="69"/>
      <c r="M47" s="69"/>
      <c r="N47" s="69">
        <f t="shared" si="6"/>
        <v>5890.8829999999998</v>
      </c>
      <c r="O47" s="71">
        <v>5890.8829999999998</v>
      </c>
      <c r="P47" s="72"/>
      <c r="Q47" s="71"/>
      <c r="R47" s="71"/>
      <c r="S47" s="63">
        <f t="shared" si="1"/>
        <v>46.38490551181102</v>
      </c>
      <c r="T47" s="73"/>
      <c r="U47" s="73"/>
      <c r="V47" s="74">
        <f t="shared" si="8"/>
        <v>46.38490551181102</v>
      </c>
      <c r="W47" s="74"/>
    </row>
    <row r="48" spans="1:23" ht="33.6" customHeight="1" x14ac:dyDescent="0.35">
      <c r="A48" s="67">
        <v>37</v>
      </c>
      <c r="B48" s="68" t="s">
        <v>193</v>
      </c>
      <c r="C48" s="69">
        <f t="shared" si="3"/>
        <v>213500</v>
      </c>
      <c r="D48" s="69"/>
      <c r="E48" s="69"/>
      <c r="F48" s="69">
        <f t="shared" si="4"/>
        <v>213500</v>
      </c>
      <c r="G48" s="71">
        <v>213500</v>
      </c>
      <c r="H48" s="69"/>
      <c r="I48" s="69">
        <f t="shared" si="5"/>
        <v>30669.606</v>
      </c>
      <c r="J48" s="69"/>
      <c r="K48" s="69"/>
      <c r="L48" s="69"/>
      <c r="M48" s="69"/>
      <c r="N48" s="69">
        <f t="shared" si="6"/>
        <v>30669.606</v>
      </c>
      <c r="O48" s="71">
        <v>30669.606</v>
      </c>
      <c r="P48" s="72"/>
      <c r="Q48" s="71"/>
      <c r="R48" s="71"/>
      <c r="S48" s="63">
        <f t="shared" si="1"/>
        <v>14.365155035128804</v>
      </c>
      <c r="T48" s="73"/>
      <c r="U48" s="73"/>
      <c r="V48" s="74">
        <f t="shared" si="8"/>
        <v>14.365155035128804</v>
      </c>
      <c r="W48" s="74"/>
    </row>
    <row r="49" spans="1:23" ht="33.6" customHeight="1" x14ac:dyDescent="0.35">
      <c r="A49" s="67">
        <v>38</v>
      </c>
      <c r="B49" s="68" t="s">
        <v>194</v>
      </c>
      <c r="C49" s="69">
        <f t="shared" si="3"/>
        <v>101311.126</v>
      </c>
      <c r="D49" s="69"/>
      <c r="E49" s="69"/>
      <c r="F49" s="69">
        <f t="shared" si="4"/>
        <v>101311.126</v>
      </c>
      <c r="G49" s="71">
        <v>101311.126</v>
      </c>
      <c r="H49" s="69"/>
      <c r="I49" s="69">
        <f t="shared" si="5"/>
        <v>0</v>
      </c>
      <c r="J49" s="69"/>
      <c r="K49" s="69"/>
      <c r="L49" s="69"/>
      <c r="M49" s="69"/>
      <c r="N49" s="69">
        <f t="shared" si="6"/>
        <v>0</v>
      </c>
      <c r="O49" s="71"/>
      <c r="P49" s="72"/>
      <c r="Q49" s="71"/>
      <c r="R49" s="71"/>
      <c r="S49" s="63">
        <f t="shared" si="1"/>
        <v>0</v>
      </c>
      <c r="T49" s="73"/>
      <c r="U49" s="73"/>
      <c r="V49" s="74">
        <f t="shared" si="8"/>
        <v>0</v>
      </c>
      <c r="W49" s="74"/>
    </row>
    <row r="50" spans="1:23" ht="33.6" customHeight="1" x14ac:dyDescent="0.35">
      <c r="A50" s="67">
        <v>39</v>
      </c>
      <c r="B50" s="68" t="s">
        <v>195</v>
      </c>
      <c r="C50" s="69">
        <f t="shared" si="3"/>
        <v>43600</v>
      </c>
      <c r="D50" s="69"/>
      <c r="E50" s="69"/>
      <c r="F50" s="69">
        <f t="shared" si="4"/>
        <v>43600</v>
      </c>
      <c r="G50" s="71">
        <v>43600</v>
      </c>
      <c r="H50" s="69"/>
      <c r="I50" s="69">
        <f t="shared" si="5"/>
        <v>27401.022000000001</v>
      </c>
      <c r="J50" s="69"/>
      <c r="K50" s="69"/>
      <c r="L50" s="69"/>
      <c r="M50" s="69"/>
      <c r="N50" s="69">
        <f t="shared" si="6"/>
        <v>27401.022000000001</v>
      </c>
      <c r="O50" s="71">
        <v>27401.022000000001</v>
      </c>
      <c r="P50" s="72"/>
      <c r="Q50" s="71"/>
      <c r="R50" s="71"/>
      <c r="S50" s="63">
        <f t="shared" si="1"/>
        <v>62.846380733944954</v>
      </c>
      <c r="T50" s="73"/>
      <c r="U50" s="73"/>
      <c r="V50" s="74">
        <f t="shared" si="8"/>
        <v>62.846380733944954</v>
      </c>
      <c r="W50" s="74"/>
    </row>
    <row r="51" spans="1:23" ht="33.6" customHeight="1" x14ac:dyDescent="0.35">
      <c r="A51" s="67">
        <v>40</v>
      </c>
      <c r="B51" s="68" t="s">
        <v>196</v>
      </c>
      <c r="C51" s="69">
        <f t="shared" si="3"/>
        <v>81600</v>
      </c>
      <c r="D51" s="69"/>
      <c r="E51" s="69"/>
      <c r="F51" s="69">
        <f t="shared" si="4"/>
        <v>81600</v>
      </c>
      <c r="G51" s="71">
        <v>81600</v>
      </c>
      <c r="H51" s="69"/>
      <c r="I51" s="69">
        <f t="shared" si="5"/>
        <v>64000</v>
      </c>
      <c r="J51" s="69"/>
      <c r="K51" s="69"/>
      <c r="L51" s="69"/>
      <c r="M51" s="69"/>
      <c r="N51" s="69">
        <f t="shared" si="6"/>
        <v>64000</v>
      </c>
      <c r="O51" s="71">
        <v>64000</v>
      </c>
      <c r="P51" s="72"/>
      <c r="Q51" s="71"/>
      <c r="R51" s="71"/>
      <c r="S51" s="63">
        <f t="shared" si="1"/>
        <v>78.431372549019613</v>
      </c>
      <c r="T51" s="73"/>
      <c r="U51" s="73"/>
      <c r="V51" s="74">
        <f t="shared" si="8"/>
        <v>78.431372549019613</v>
      </c>
      <c r="W51" s="74"/>
    </row>
    <row r="52" spans="1:23" ht="46.8" customHeight="1" x14ac:dyDescent="0.35">
      <c r="A52" s="67">
        <v>41</v>
      </c>
      <c r="B52" s="68" t="s">
        <v>197</v>
      </c>
      <c r="C52" s="69">
        <f t="shared" si="3"/>
        <v>109800</v>
      </c>
      <c r="D52" s="69"/>
      <c r="E52" s="69"/>
      <c r="F52" s="69">
        <f t="shared" si="4"/>
        <v>109800</v>
      </c>
      <c r="G52" s="71">
        <v>109800</v>
      </c>
      <c r="H52" s="69"/>
      <c r="I52" s="69">
        <f t="shared" si="5"/>
        <v>82586.502999999997</v>
      </c>
      <c r="J52" s="69"/>
      <c r="K52" s="69"/>
      <c r="L52" s="69"/>
      <c r="M52" s="69"/>
      <c r="N52" s="69">
        <f t="shared" si="6"/>
        <v>82586.502999999997</v>
      </c>
      <c r="O52" s="71">
        <v>82586.502999999997</v>
      </c>
      <c r="P52" s="72"/>
      <c r="Q52" s="71"/>
      <c r="R52" s="71"/>
      <c r="S52" s="63">
        <f t="shared" si="1"/>
        <v>75.21539435336976</v>
      </c>
      <c r="T52" s="73"/>
      <c r="U52" s="73"/>
      <c r="V52" s="74">
        <f t="shared" si="8"/>
        <v>75.21539435336976</v>
      </c>
      <c r="W52" s="74"/>
    </row>
    <row r="53" spans="1:23" ht="33.6" customHeight="1" x14ac:dyDescent="0.35">
      <c r="A53" s="67">
        <v>42</v>
      </c>
      <c r="B53" s="68" t="s">
        <v>198</v>
      </c>
      <c r="C53" s="69">
        <f t="shared" si="3"/>
        <v>141400</v>
      </c>
      <c r="D53" s="69"/>
      <c r="E53" s="69"/>
      <c r="F53" s="69">
        <f t="shared" si="4"/>
        <v>141400</v>
      </c>
      <c r="G53" s="71">
        <v>141400</v>
      </c>
      <c r="H53" s="69"/>
      <c r="I53" s="69">
        <f t="shared" si="5"/>
        <v>129798.57799999999</v>
      </c>
      <c r="J53" s="69"/>
      <c r="K53" s="69"/>
      <c r="L53" s="69"/>
      <c r="M53" s="69"/>
      <c r="N53" s="69">
        <f t="shared" si="6"/>
        <v>129798.57799999999</v>
      </c>
      <c r="O53" s="71">
        <v>129798.57799999999</v>
      </c>
      <c r="P53" s="72"/>
      <c r="Q53" s="71"/>
      <c r="R53" s="71"/>
      <c r="S53" s="63">
        <f t="shared" si="1"/>
        <v>91.795316831683166</v>
      </c>
      <c r="T53" s="73"/>
      <c r="U53" s="73"/>
      <c r="V53" s="74">
        <f t="shared" si="8"/>
        <v>91.795316831683166</v>
      </c>
      <c r="W53" s="74"/>
    </row>
    <row r="54" spans="1:23" ht="33.6" customHeight="1" x14ac:dyDescent="0.35">
      <c r="A54" s="67">
        <v>43</v>
      </c>
      <c r="B54" s="68" t="s">
        <v>199</v>
      </c>
      <c r="C54" s="69">
        <f t="shared" si="3"/>
        <v>40400</v>
      </c>
      <c r="D54" s="69"/>
      <c r="E54" s="69"/>
      <c r="F54" s="69">
        <f t="shared" si="4"/>
        <v>40400</v>
      </c>
      <c r="G54" s="71">
        <v>40400</v>
      </c>
      <c r="H54" s="69"/>
      <c r="I54" s="69">
        <f t="shared" si="5"/>
        <v>21881.416000000001</v>
      </c>
      <c r="J54" s="69"/>
      <c r="K54" s="69"/>
      <c r="L54" s="69"/>
      <c r="M54" s="69"/>
      <c r="N54" s="69">
        <f t="shared" si="6"/>
        <v>21881.416000000001</v>
      </c>
      <c r="O54" s="71">
        <v>21881.416000000001</v>
      </c>
      <c r="P54" s="72"/>
      <c r="Q54" s="71"/>
      <c r="R54" s="71"/>
      <c r="S54" s="63">
        <f t="shared" si="1"/>
        <v>54.161920792079208</v>
      </c>
      <c r="T54" s="73"/>
      <c r="U54" s="73"/>
      <c r="V54" s="74">
        <f t="shared" si="8"/>
        <v>54.161920792079208</v>
      </c>
      <c r="W54" s="74"/>
    </row>
    <row r="55" spans="1:23" ht="33.6" customHeight="1" x14ac:dyDescent="0.35">
      <c r="A55" s="67">
        <v>44</v>
      </c>
      <c r="B55" s="68" t="s">
        <v>200</v>
      </c>
      <c r="C55" s="69">
        <f t="shared" si="3"/>
        <v>41400</v>
      </c>
      <c r="D55" s="69"/>
      <c r="E55" s="69"/>
      <c r="F55" s="69">
        <f t="shared" si="4"/>
        <v>41400</v>
      </c>
      <c r="G55" s="71">
        <v>41400</v>
      </c>
      <c r="H55" s="69"/>
      <c r="I55" s="69">
        <f t="shared" si="5"/>
        <v>26185.293000000001</v>
      </c>
      <c r="J55" s="69"/>
      <c r="K55" s="69"/>
      <c r="L55" s="69"/>
      <c r="M55" s="69"/>
      <c r="N55" s="69">
        <f t="shared" si="6"/>
        <v>26185.293000000001</v>
      </c>
      <c r="O55" s="71">
        <v>26185.293000000001</v>
      </c>
      <c r="P55" s="72"/>
      <c r="Q55" s="71"/>
      <c r="R55" s="71"/>
      <c r="S55" s="63">
        <f t="shared" si="1"/>
        <v>63.249500000000005</v>
      </c>
      <c r="T55" s="73"/>
      <c r="U55" s="73"/>
      <c r="V55" s="74">
        <f t="shared" si="8"/>
        <v>63.249500000000005</v>
      </c>
      <c r="W55" s="74"/>
    </row>
    <row r="56" spans="1:23" ht="33.6" customHeight="1" x14ac:dyDescent="0.35">
      <c r="A56" s="67">
        <v>45</v>
      </c>
      <c r="B56" s="68" t="s">
        <v>201</v>
      </c>
      <c r="C56" s="69">
        <f t="shared" si="3"/>
        <v>183600</v>
      </c>
      <c r="D56" s="69"/>
      <c r="E56" s="69"/>
      <c r="F56" s="69">
        <f t="shared" si="4"/>
        <v>183600</v>
      </c>
      <c r="G56" s="71">
        <v>183600</v>
      </c>
      <c r="H56" s="69"/>
      <c r="I56" s="69">
        <f t="shared" si="5"/>
        <v>169983.03400000001</v>
      </c>
      <c r="J56" s="69"/>
      <c r="K56" s="69"/>
      <c r="L56" s="69"/>
      <c r="M56" s="69"/>
      <c r="N56" s="69">
        <f t="shared" si="6"/>
        <v>169983.03400000001</v>
      </c>
      <c r="O56" s="71">
        <v>169983.03400000001</v>
      </c>
      <c r="P56" s="72"/>
      <c r="Q56" s="71"/>
      <c r="R56" s="71"/>
      <c r="S56" s="63">
        <f t="shared" si="1"/>
        <v>92.583351851851859</v>
      </c>
      <c r="T56" s="73"/>
      <c r="U56" s="73"/>
      <c r="V56" s="74">
        <f t="shared" si="8"/>
        <v>92.583351851851859</v>
      </c>
      <c r="W56" s="74"/>
    </row>
    <row r="57" spans="1:23" ht="33.6" customHeight="1" x14ac:dyDescent="0.35">
      <c r="A57" s="67">
        <v>46</v>
      </c>
      <c r="B57" s="68" t="s">
        <v>202</v>
      </c>
      <c r="C57" s="69">
        <f t="shared" si="3"/>
        <v>412900</v>
      </c>
      <c r="D57" s="69"/>
      <c r="E57" s="69"/>
      <c r="F57" s="69">
        <f t="shared" si="4"/>
        <v>412900</v>
      </c>
      <c r="G57" s="71">
        <v>412900</v>
      </c>
      <c r="H57" s="69"/>
      <c r="I57" s="69">
        <f t="shared" si="5"/>
        <v>313511</v>
      </c>
      <c r="J57" s="69"/>
      <c r="K57" s="69"/>
      <c r="L57" s="69"/>
      <c r="M57" s="69"/>
      <c r="N57" s="69">
        <f t="shared" si="6"/>
        <v>313511</v>
      </c>
      <c r="O57" s="71">
        <v>313511</v>
      </c>
      <c r="P57" s="72"/>
      <c r="Q57" s="71"/>
      <c r="R57" s="71"/>
      <c r="S57" s="63">
        <f t="shared" si="1"/>
        <v>75.929038508113351</v>
      </c>
      <c r="T57" s="73"/>
      <c r="U57" s="73"/>
      <c r="V57" s="74">
        <f t="shared" si="8"/>
        <v>75.929038508113351</v>
      </c>
      <c r="W57" s="74"/>
    </row>
    <row r="58" spans="1:23" ht="33.6" customHeight="1" x14ac:dyDescent="0.35">
      <c r="A58" s="67">
        <v>47</v>
      </c>
      <c r="B58" s="68" t="s">
        <v>203</v>
      </c>
      <c r="C58" s="69">
        <f t="shared" si="3"/>
        <v>315000</v>
      </c>
      <c r="D58" s="69"/>
      <c r="E58" s="69"/>
      <c r="F58" s="69">
        <f t="shared" si="4"/>
        <v>315000</v>
      </c>
      <c r="G58" s="71">
        <v>315000</v>
      </c>
      <c r="H58" s="69"/>
      <c r="I58" s="69">
        <f t="shared" si="5"/>
        <v>258900</v>
      </c>
      <c r="J58" s="69"/>
      <c r="K58" s="69"/>
      <c r="L58" s="69"/>
      <c r="M58" s="69"/>
      <c r="N58" s="69">
        <f t="shared" si="6"/>
        <v>258900</v>
      </c>
      <c r="O58" s="71">
        <v>258900</v>
      </c>
      <c r="P58" s="72"/>
      <c r="Q58" s="71"/>
      <c r="R58" s="71"/>
      <c r="S58" s="63">
        <f t="shared" si="1"/>
        <v>82.19047619047619</v>
      </c>
      <c r="T58" s="73"/>
      <c r="U58" s="73"/>
      <c r="V58" s="74">
        <f t="shared" si="8"/>
        <v>82.19047619047619</v>
      </c>
      <c r="W58" s="74"/>
    </row>
    <row r="59" spans="1:23" ht="33.6" customHeight="1" x14ac:dyDescent="0.35">
      <c r="A59" s="67">
        <v>48</v>
      </c>
      <c r="B59" s="68" t="s">
        <v>204</v>
      </c>
      <c r="C59" s="69">
        <f t="shared" si="3"/>
        <v>480000</v>
      </c>
      <c r="D59" s="69"/>
      <c r="E59" s="69"/>
      <c r="F59" s="69">
        <f t="shared" si="4"/>
        <v>480000</v>
      </c>
      <c r="G59" s="71">
        <v>480000</v>
      </c>
      <c r="H59" s="69"/>
      <c r="I59" s="69">
        <f t="shared" si="5"/>
        <v>413600</v>
      </c>
      <c r="J59" s="69"/>
      <c r="K59" s="69"/>
      <c r="L59" s="69"/>
      <c r="M59" s="69"/>
      <c r="N59" s="69">
        <f t="shared" si="6"/>
        <v>413600</v>
      </c>
      <c r="O59" s="71">
        <v>413600</v>
      </c>
      <c r="P59" s="72"/>
      <c r="Q59" s="71"/>
      <c r="R59" s="71"/>
      <c r="S59" s="63">
        <f t="shared" si="1"/>
        <v>86.166666666666671</v>
      </c>
      <c r="T59" s="73"/>
      <c r="U59" s="73"/>
      <c r="V59" s="74">
        <f t="shared" si="8"/>
        <v>86.166666666666671</v>
      </c>
      <c r="W59" s="74"/>
    </row>
    <row r="60" spans="1:23" ht="33.6" customHeight="1" x14ac:dyDescent="0.35">
      <c r="A60" s="67">
        <v>49</v>
      </c>
      <c r="B60" s="68" t="s">
        <v>205</v>
      </c>
      <c r="C60" s="69">
        <f t="shared" si="3"/>
        <v>441000</v>
      </c>
      <c r="D60" s="69"/>
      <c r="E60" s="69"/>
      <c r="F60" s="69">
        <f t="shared" si="4"/>
        <v>441000</v>
      </c>
      <c r="G60" s="71">
        <v>441000</v>
      </c>
      <c r="H60" s="69"/>
      <c r="I60" s="69">
        <f t="shared" si="5"/>
        <v>253464</v>
      </c>
      <c r="J60" s="69"/>
      <c r="K60" s="69"/>
      <c r="L60" s="69"/>
      <c r="M60" s="69"/>
      <c r="N60" s="69">
        <f t="shared" si="6"/>
        <v>253464</v>
      </c>
      <c r="O60" s="71">
        <v>253464</v>
      </c>
      <c r="P60" s="72"/>
      <c r="Q60" s="71"/>
      <c r="R60" s="71"/>
      <c r="S60" s="63">
        <f t="shared" si="1"/>
        <v>57.474829931972792</v>
      </c>
      <c r="T60" s="73"/>
      <c r="U60" s="73"/>
      <c r="V60" s="74">
        <f t="shared" si="8"/>
        <v>57.474829931972792</v>
      </c>
      <c r="W60" s="74"/>
    </row>
    <row r="61" spans="1:23" ht="33.6" customHeight="1" x14ac:dyDescent="0.35">
      <c r="A61" s="67">
        <v>50</v>
      </c>
      <c r="B61" s="68" t="s">
        <v>206</v>
      </c>
      <c r="C61" s="69">
        <f t="shared" si="3"/>
        <v>6588700</v>
      </c>
      <c r="D61" s="78">
        <v>6588700</v>
      </c>
      <c r="E61" s="69"/>
      <c r="F61" s="69">
        <f t="shared" si="4"/>
        <v>0</v>
      </c>
      <c r="G61" s="71">
        <v>0</v>
      </c>
      <c r="H61" s="69"/>
      <c r="I61" s="69">
        <f t="shared" si="5"/>
        <v>5653258.6840000004</v>
      </c>
      <c r="J61" s="69">
        <v>5653258.6840000004</v>
      </c>
      <c r="K61" s="69"/>
      <c r="L61" s="69"/>
      <c r="M61" s="69"/>
      <c r="N61" s="69">
        <f t="shared" si="6"/>
        <v>0</v>
      </c>
      <c r="O61" s="71"/>
      <c r="P61" s="72"/>
      <c r="Q61" s="71"/>
      <c r="R61" s="71"/>
      <c r="S61" s="63">
        <f t="shared" si="1"/>
        <v>85.802338610044472</v>
      </c>
      <c r="T61" s="73">
        <f t="shared" si="1"/>
        <v>85.802338610044472</v>
      </c>
      <c r="U61" s="73"/>
      <c r="V61" s="74"/>
      <c r="W61" s="74"/>
    </row>
    <row r="62" spans="1:23" ht="33.6" customHeight="1" x14ac:dyDescent="0.35">
      <c r="A62" s="67">
        <v>51</v>
      </c>
      <c r="B62" s="68" t="s">
        <v>207</v>
      </c>
      <c r="C62" s="69">
        <f t="shared" si="3"/>
        <v>59540</v>
      </c>
      <c r="D62" s="69"/>
      <c r="E62" s="69"/>
      <c r="F62" s="69">
        <f t="shared" si="4"/>
        <v>59540</v>
      </c>
      <c r="G62" s="71">
        <v>59540</v>
      </c>
      <c r="H62" s="69"/>
      <c r="I62" s="69">
        <f t="shared" si="5"/>
        <v>52618</v>
      </c>
      <c r="J62" s="69"/>
      <c r="K62" s="69"/>
      <c r="L62" s="69"/>
      <c r="M62" s="69"/>
      <c r="N62" s="69">
        <f t="shared" si="6"/>
        <v>52618</v>
      </c>
      <c r="O62" s="71">
        <v>52618</v>
      </c>
      <c r="P62" s="72"/>
      <c r="Q62" s="71"/>
      <c r="R62" s="71"/>
      <c r="S62" s="63">
        <f t="shared" si="1"/>
        <v>88.374202216996977</v>
      </c>
      <c r="T62" s="73"/>
      <c r="U62" s="73"/>
      <c r="V62" s="74">
        <f t="shared" si="8"/>
        <v>88.374202216996977</v>
      </c>
      <c r="W62" s="74"/>
    </row>
    <row r="63" spans="1:23" ht="33.6" customHeight="1" x14ac:dyDescent="0.35">
      <c r="A63" s="67">
        <v>52</v>
      </c>
      <c r="B63" s="68" t="s">
        <v>208</v>
      </c>
      <c r="C63" s="69">
        <f t="shared" si="3"/>
        <v>210000</v>
      </c>
      <c r="D63" s="69"/>
      <c r="E63" s="69"/>
      <c r="F63" s="69">
        <f t="shared" si="4"/>
        <v>210000</v>
      </c>
      <c r="G63" s="71">
        <v>210000</v>
      </c>
      <c r="H63" s="69"/>
      <c r="I63" s="69">
        <f t="shared" si="5"/>
        <v>185166</v>
      </c>
      <c r="J63" s="69"/>
      <c r="K63" s="69"/>
      <c r="L63" s="69"/>
      <c r="M63" s="69"/>
      <c r="N63" s="69">
        <f t="shared" si="6"/>
        <v>185166</v>
      </c>
      <c r="O63" s="71">
        <v>185166</v>
      </c>
      <c r="P63" s="72"/>
      <c r="Q63" s="71"/>
      <c r="R63" s="71"/>
      <c r="S63" s="63">
        <f t="shared" si="1"/>
        <v>88.174285714285716</v>
      </c>
      <c r="T63" s="73"/>
      <c r="U63" s="73"/>
      <c r="V63" s="74">
        <f t="shared" si="8"/>
        <v>88.174285714285716</v>
      </c>
      <c r="W63" s="74"/>
    </row>
    <row r="64" spans="1:23" ht="33.6" customHeight="1" x14ac:dyDescent="0.35">
      <c r="A64" s="67">
        <v>53</v>
      </c>
      <c r="B64" s="68" t="s">
        <v>209</v>
      </c>
      <c r="C64" s="69">
        <f t="shared" si="3"/>
        <v>589620</v>
      </c>
      <c r="D64" s="69"/>
      <c r="E64" s="69"/>
      <c r="F64" s="69">
        <f t="shared" si="4"/>
        <v>589620</v>
      </c>
      <c r="G64" s="71">
        <v>589620</v>
      </c>
      <c r="H64" s="69"/>
      <c r="I64" s="69">
        <f t="shared" si="5"/>
        <v>520601</v>
      </c>
      <c r="J64" s="69"/>
      <c r="K64" s="69"/>
      <c r="L64" s="69"/>
      <c r="M64" s="69"/>
      <c r="N64" s="69">
        <f t="shared" si="6"/>
        <v>520601</v>
      </c>
      <c r="O64" s="71">
        <v>520601</v>
      </c>
      <c r="P64" s="72"/>
      <c r="Q64" s="71"/>
      <c r="R64" s="71"/>
      <c r="S64" s="63">
        <f t="shared" si="1"/>
        <v>88.294325158576711</v>
      </c>
      <c r="T64" s="73"/>
      <c r="U64" s="73"/>
      <c r="V64" s="74">
        <f t="shared" si="8"/>
        <v>88.294325158576711</v>
      </c>
      <c r="W64" s="74"/>
    </row>
    <row r="65" spans="1:23" ht="33.6" customHeight="1" x14ac:dyDescent="0.35">
      <c r="A65" s="67">
        <v>54</v>
      </c>
      <c r="B65" s="68" t="s">
        <v>210</v>
      </c>
      <c r="C65" s="69">
        <f t="shared" si="3"/>
        <v>330800</v>
      </c>
      <c r="D65" s="69"/>
      <c r="E65" s="69"/>
      <c r="F65" s="69">
        <f t="shared" si="4"/>
        <v>330800</v>
      </c>
      <c r="G65" s="71">
        <v>330800</v>
      </c>
      <c r="H65" s="69"/>
      <c r="I65" s="69">
        <f t="shared" si="5"/>
        <v>270000</v>
      </c>
      <c r="J65" s="69"/>
      <c r="K65" s="69"/>
      <c r="L65" s="69"/>
      <c r="M65" s="69"/>
      <c r="N65" s="69">
        <f t="shared" si="6"/>
        <v>270000</v>
      </c>
      <c r="O65" s="71">
        <v>270000</v>
      </c>
      <c r="P65" s="72"/>
      <c r="Q65" s="71"/>
      <c r="R65" s="71"/>
      <c r="S65" s="63">
        <f t="shared" si="1"/>
        <v>81.620314389359123</v>
      </c>
      <c r="T65" s="73"/>
      <c r="U65" s="73"/>
      <c r="V65" s="74">
        <f t="shared" si="8"/>
        <v>81.620314389359123</v>
      </c>
      <c r="W65" s="74"/>
    </row>
    <row r="66" spans="1:23" ht="33.6" customHeight="1" x14ac:dyDescent="0.35">
      <c r="A66" s="67">
        <v>55</v>
      </c>
      <c r="B66" s="68" t="s">
        <v>211</v>
      </c>
      <c r="C66" s="69">
        <f t="shared" si="3"/>
        <v>522300</v>
      </c>
      <c r="D66" s="69"/>
      <c r="E66" s="69"/>
      <c r="F66" s="69">
        <f t="shared" si="4"/>
        <v>522300</v>
      </c>
      <c r="G66" s="71">
        <v>522300</v>
      </c>
      <c r="H66" s="69"/>
      <c r="I66" s="69">
        <f t="shared" si="5"/>
        <v>461000</v>
      </c>
      <c r="J66" s="69"/>
      <c r="K66" s="69"/>
      <c r="L66" s="69"/>
      <c r="M66" s="69"/>
      <c r="N66" s="69">
        <f t="shared" si="6"/>
        <v>461000</v>
      </c>
      <c r="O66" s="71">
        <v>461000</v>
      </c>
      <c r="P66" s="72"/>
      <c r="Q66" s="71"/>
      <c r="R66" s="71"/>
      <c r="S66" s="63">
        <f t="shared" si="1"/>
        <v>88.263450124449548</v>
      </c>
      <c r="T66" s="73"/>
      <c r="U66" s="73"/>
      <c r="V66" s="74">
        <f t="shared" si="8"/>
        <v>88.263450124449548</v>
      </c>
      <c r="W66" s="74"/>
    </row>
    <row r="67" spans="1:23" ht="33.6" customHeight="1" x14ac:dyDescent="0.35">
      <c r="A67" s="67">
        <v>56</v>
      </c>
      <c r="B67" s="68" t="s">
        <v>212</v>
      </c>
      <c r="C67" s="69">
        <f t="shared" si="3"/>
        <v>742400</v>
      </c>
      <c r="D67" s="69"/>
      <c r="E67" s="69"/>
      <c r="F67" s="69">
        <f t="shared" si="4"/>
        <v>742400</v>
      </c>
      <c r="G67" s="71">
        <v>742400</v>
      </c>
      <c r="H67" s="69"/>
      <c r="I67" s="69">
        <f t="shared" si="5"/>
        <v>651282</v>
      </c>
      <c r="J67" s="69"/>
      <c r="K67" s="69"/>
      <c r="L67" s="69"/>
      <c r="M67" s="69"/>
      <c r="N67" s="69">
        <f t="shared" si="6"/>
        <v>651282</v>
      </c>
      <c r="O67" s="71">
        <v>651282</v>
      </c>
      <c r="P67" s="72"/>
      <c r="Q67" s="71"/>
      <c r="R67" s="71"/>
      <c r="S67" s="63">
        <f t="shared" si="1"/>
        <v>87.7265625</v>
      </c>
      <c r="T67" s="73"/>
      <c r="U67" s="73"/>
      <c r="V67" s="74">
        <f t="shared" si="8"/>
        <v>87.7265625</v>
      </c>
      <c r="W67" s="74"/>
    </row>
    <row r="68" spans="1:23" ht="33.6" customHeight="1" x14ac:dyDescent="0.35">
      <c r="A68" s="67">
        <v>57</v>
      </c>
      <c r="B68" s="68" t="s">
        <v>213</v>
      </c>
      <c r="C68" s="69">
        <f t="shared" si="3"/>
        <v>138410</v>
      </c>
      <c r="D68" s="69"/>
      <c r="E68" s="69"/>
      <c r="F68" s="69">
        <f t="shared" si="4"/>
        <v>138410</v>
      </c>
      <c r="G68" s="71">
        <v>138410</v>
      </c>
      <c r="H68" s="69"/>
      <c r="I68" s="69">
        <f t="shared" si="5"/>
        <v>128000</v>
      </c>
      <c r="J68" s="69"/>
      <c r="K68" s="69"/>
      <c r="L68" s="69"/>
      <c r="M68" s="69"/>
      <c r="N68" s="69">
        <f t="shared" si="6"/>
        <v>128000</v>
      </c>
      <c r="O68" s="71">
        <v>128000</v>
      </c>
      <c r="P68" s="72"/>
      <c r="Q68" s="71"/>
      <c r="R68" s="71"/>
      <c r="S68" s="63">
        <f t="shared" si="1"/>
        <v>92.4788671338776</v>
      </c>
      <c r="T68" s="73"/>
      <c r="U68" s="73"/>
      <c r="V68" s="74">
        <f t="shared" si="8"/>
        <v>92.4788671338776</v>
      </c>
      <c r="W68" s="74"/>
    </row>
    <row r="69" spans="1:23" ht="33.6" customHeight="1" x14ac:dyDescent="0.35">
      <c r="A69" s="67">
        <v>58</v>
      </c>
      <c r="B69" s="68" t="s">
        <v>214</v>
      </c>
      <c r="C69" s="69">
        <f t="shared" si="3"/>
        <v>158000</v>
      </c>
      <c r="D69" s="69"/>
      <c r="E69" s="69"/>
      <c r="F69" s="69">
        <f t="shared" si="4"/>
        <v>158000</v>
      </c>
      <c r="G69" s="71">
        <v>158000</v>
      </c>
      <c r="H69" s="69"/>
      <c r="I69" s="69">
        <f t="shared" si="5"/>
        <v>134700</v>
      </c>
      <c r="J69" s="69"/>
      <c r="K69" s="69"/>
      <c r="L69" s="69"/>
      <c r="M69" s="69"/>
      <c r="N69" s="69">
        <f t="shared" si="6"/>
        <v>134700</v>
      </c>
      <c r="O69" s="71">
        <v>134700</v>
      </c>
      <c r="P69" s="72"/>
      <c r="Q69" s="71"/>
      <c r="R69" s="71"/>
      <c r="S69" s="63">
        <f t="shared" si="1"/>
        <v>85.25316455696202</v>
      </c>
      <c r="T69" s="73"/>
      <c r="U69" s="73"/>
      <c r="V69" s="74">
        <f t="shared" si="8"/>
        <v>85.25316455696202</v>
      </c>
      <c r="W69" s="74"/>
    </row>
    <row r="70" spans="1:23" ht="33.6" customHeight="1" x14ac:dyDescent="0.35">
      <c r="A70" s="67">
        <v>59</v>
      </c>
      <c r="B70" s="68" t="s">
        <v>215</v>
      </c>
      <c r="C70" s="69">
        <f t="shared" si="3"/>
        <v>295000</v>
      </c>
      <c r="D70" s="69"/>
      <c r="E70" s="69"/>
      <c r="F70" s="69">
        <f t="shared" si="4"/>
        <v>295000</v>
      </c>
      <c r="G70" s="71">
        <v>295000</v>
      </c>
      <c r="H70" s="69"/>
      <c r="I70" s="69">
        <f t="shared" si="5"/>
        <v>252900</v>
      </c>
      <c r="J70" s="69"/>
      <c r="K70" s="69"/>
      <c r="L70" s="69"/>
      <c r="M70" s="69"/>
      <c r="N70" s="69">
        <f t="shared" si="6"/>
        <v>252900</v>
      </c>
      <c r="O70" s="71">
        <v>252900</v>
      </c>
      <c r="P70" s="72"/>
      <c r="Q70" s="71"/>
      <c r="R70" s="71"/>
      <c r="S70" s="63">
        <f t="shared" si="1"/>
        <v>85.728813559322035</v>
      </c>
      <c r="T70" s="73"/>
      <c r="U70" s="73"/>
      <c r="V70" s="74">
        <f t="shared" si="8"/>
        <v>85.728813559322035</v>
      </c>
      <c r="W70" s="74"/>
    </row>
    <row r="71" spans="1:23" ht="33.6" customHeight="1" x14ac:dyDescent="0.35">
      <c r="A71" s="67">
        <v>60</v>
      </c>
      <c r="B71" s="68" t="s">
        <v>216</v>
      </c>
      <c r="C71" s="69">
        <f t="shared" si="3"/>
        <v>220500</v>
      </c>
      <c r="D71" s="69"/>
      <c r="E71" s="69"/>
      <c r="F71" s="69">
        <f t="shared" si="4"/>
        <v>220500</v>
      </c>
      <c r="G71" s="71">
        <v>220500</v>
      </c>
      <c r="H71" s="69"/>
      <c r="I71" s="69">
        <f t="shared" si="5"/>
        <v>189000</v>
      </c>
      <c r="J71" s="69"/>
      <c r="K71" s="69"/>
      <c r="L71" s="69"/>
      <c r="M71" s="69"/>
      <c r="N71" s="69">
        <f t="shared" si="6"/>
        <v>189000</v>
      </c>
      <c r="O71" s="71">
        <v>189000</v>
      </c>
      <c r="P71" s="72"/>
      <c r="Q71" s="71"/>
      <c r="R71" s="71"/>
      <c r="S71" s="63">
        <f t="shared" si="1"/>
        <v>85.714285714285708</v>
      </c>
      <c r="T71" s="73"/>
      <c r="U71" s="73"/>
      <c r="V71" s="74">
        <f t="shared" si="8"/>
        <v>85.714285714285708</v>
      </c>
      <c r="W71" s="74"/>
    </row>
    <row r="72" spans="1:23" ht="33.6" customHeight="1" x14ac:dyDescent="0.35">
      <c r="A72" s="67">
        <v>61</v>
      </c>
      <c r="B72" s="68" t="s">
        <v>217</v>
      </c>
      <c r="C72" s="69">
        <f t="shared" si="3"/>
        <v>341970</v>
      </c>
      <c r="D72" s="69"/>
      <c r="E72" s="69"/>
      <c r="F72" s="69">
        <f t="shared" si="4"/>
        <v>341970</v>
      </c>
      <c r="G72" s="71">
        <v>341970</v>
      </c>
      <c r="H72" s="69"/>
      <c r="I72" s="69">
        <f t="shared" si="5"/>
        <v>289800</v>
      </c>
      <c r="J72" s="69"/>
      <c r="K72" s="69"/>
      <c r="L72" s="69"/>
      <c r="M72" s="69"/>
      <c r="N72" s="69">
        <f t="shared" si="6"/>
        <v>289800</v>
      </c>
      <c r="O72" s="71">
        <v>289800</v>
      </c>
      <c r="P72" s="72"/>
      <c r="Q72" s="71"/>
      <c r="R72" s="71"/>
      <c r="S72" s="63">
        <f t="shared" si="1"/>
        <v>84.744275813667869</v>
      </c>
      <c r="T72" s="73"/>
      <c r="U72" s="73"/>
      <c r="V72" s="74">
        <f t="shared" si="8"/>
        <v>84.744275813667869</v>
      </c>
      <c r="W72" s="74"/>
    </row>
    <row r="73" spans="1:23" ht="33.6" customHeight="1" x14ac:dyDescent="0.35">
      <c r="A73" s="67">
        <v>62</v>
      </c>
      <c r="B73" s="68" t="s">
        <v>218</v>
      </c>
      <c r="C73" s="69">
        <f t="shared" si="3"/>
        <v>299900</v>
      </c>
      <c r="D73" s="69"/>
      <c r="E73" s="69"/>
      <c r="F73" s="69">
        <f t="shared" si="4"/>
        <v>299900</v>
      </c>
      <c r="G73" s="71">
        <v>299900</v>
      </c>
      <c r="H73" s="69"/>
      <c r="I73" s="69">
        <f t="shared" si="5"/>
        <v>252900</v>
      </c>
      <c r="J73" s="69"/>
      <c r="K73" s="69"/>
      <c r="L73" s="69"/>
      <c r="M73" s="69"/>
      <c r="N73" s="69">
        <f t="shared" si="6"/>
        <v>252900</v>
      </c>
      <c r="O73" s="71">
        <v>252900</v>
      </c>
      <c r="P73" s="72"/>
      <c r="Q73" s="71"/>
      <c r="R73" s="71"/>
      <c r="S73" s="63">
        <f t="shared" si="1"/>
        <v>84.328109369789928</v>
      </c>
      <c r="T73" s="73"/>
      <c r="U73" s="73"/>
      <c r="V73" s="74">
        <f t="shared" si="8"/>
        <v>84.328109369789928</v>
      </c>
      <c r="W73" s="74"/>
    </row>
    <row r="74" spans="1:23" ht="33.6" customHeight="1" x14ac:dyDescent="0.35">
      <c r="A74" s="67">
        <v>63</v>
      </c>
      <c r="B74" s="68" t="s">
        <v>219</v>
      </c>
      <c r="C74" s="69">
        <f t="shared" si="3"/>
        <v>126860</v>
      </c>
      <c r="D74" s="69"/>
      <c r="E74" s="69"/>
      <c r="F74" s="69">
        <f t="shared" si="4"/>
        <v>126860</v>
      </c>
      <c r="G74" s="71">
        <v>126860</v>
      </c>
      <c r="H74" s="69"/>
      <c r="I74" s="69">
        <f t="shared" si="5"/>
        <v>107000</v>
      </c>
      <c r="J74" s="69"/>
      <c r="K74" s="69"/>
      <c r="L74" s="69"/>
      <c r="M74" s="69"/>
      <c r="N74" s="69">
        <f t="shared" si="6"/>
        <v>107000</v>
      </c>
      <c r="O74" s="71">
        <v>107000</v>
      </c>
      <c r="P74" s="72"/>
      <c r="Q74" s="71"/>
      <c r="R74" s="71"/>
      <c r="S74" s="63">
        <f t="shared" si="1"/>
        <v>84.34494718587419</v>
      </c>
      <c r="T74" s="73"/>
      <c r="U74" s="73"/>
      <c r="V74" s="74">
        <f t="shared" si="8"/>
        <v>84.34494718587419</v>
      </c>
      <c r="W74" s="74"/>
    </row>
    <row r="75" spans="1:23" ht="33.6" customHeight="1" x14ac:dyDescent="0.35">
      <c r="A75" s="67">
        <v>64</v>
      </c>
      <c r="B75" s="68" t="s">
        <v>220</v>
      </c>
      <c r="C75" s="69">
        <f t="shared" si="3"/>
        <v>244800</v>
      </c>
      <c r="D75" s="69"/>
      <c r="E75" s="69"/>
      <c r="F75" s="69">
        <f t="shared" si="4"/>
        <v>244800</v>
      </c>
      <c r="G75" s="71">
        <v>244800</v>
      </c>
      <c r="H75" s="69"/>
      <c r="I75" s="69">
        <f t="shared" si="5"/>
        <v>0</v>
      </c>
      <c r="J75" s="69"/>
      <c r="K75" s="69"/>
      <c r="L75" s="69"/>
      <c r="M75" s="69"/>
      <c r="N75" s="69">
        <f t="shared" si="6"/>
        <v>0</v>
      </c>
      <c r="O75" s="71"/>
      <c r="P75" s="72"/>
      <c r="Q75" s="71"/>
      <c r="R75" s="71"/>
      <c r="S75" s="63">
        <f t="shared" si="1"/>
        <v>0</v>
      </c>
      <c r="T75" s="73"/>
      <c r="U75" s="73"/>
      <c r="V75" s="74">
        <f t="shared" si="8"/>
        <v>0</v>
      </c>
      <c r="W75" s="74"/>
    </row>
    <row r="76" spans="1:23" ht="33.6" customHeight="1" x14ac:dyDescent="0.35">
      <c r="A76" s="67">
        <v>65</v>
      </c>
      <c r="B76" s="68" t="s">
        <v>221</v>
      </c>
      <c r="C76" s="69">
        <f t="shared" si="3"/>
        <v>257300</v>
      </c>
      <c r="D76" s="69"/>
      <c r="E76" s="69"/>
      <c r="F76" s="69">
        <f t="shared" si="4"/>
        <v>257300</v>
      </c>
      <c r="G76" s="71">
        <v>257300</v>
      </c>
      <c r="H76" s="69"/>
      <c r="I76" s="69">
        <f t="shared" si="5"/>
        <v>225000</v>
      </c>
      <c r="J76" s="69"/>
      <c r="K76" s="69"/>
      <c r="L76" s="69"/>
      <c r="M76" s="69"/>
      <c r="N76" s="69">
        <f t="shared" si="6"/>
        <v>225000</v>
      </c>
      <c r="O76" s="71">
        <v>225000</v>
      </c>
      <c r="P76" s="72"/>
      <c r="Q76" s="71"/>
      <c r="R76" s="71"/>
      <c r="S76" s="63">
        <f t="shared" ref="S76:T84" si="9">I76/C76*100</f>
        <v>87.446560435289541</v>
      </c>
      <c r="T76" s="73"/>
      <c r="U76" s="73"/>
      <c r="V76" s="74">
        <f t="shared" si="8"/>
        <v>87.446560435289541</v>
      </c>
      <c r="W76" s="74"/>
    </row>
    <row r="77" spans="1:23" ht="33.6" customHeight="1" x14ac:dyDescent="0.35">
      <c r="A77" s="67">
        <v>66</v>
      </c>
      <c r="B77" s="68" t="s">
        <v>222</v>
      </c>
      <c r="C77" s="69">
        <f t="shared" ref="C77:C84" si="10">D77+E77+F77</f>
        <v>43950</v>
      </c>
      <c r="D77" s="69"/>
      <c r="E77" s="69"/>
      <c r="F77" s="69">
        <f t="shared" ref="F77:F83" si="11">SUM(G77:H77)</f>
        <v>43950</v>
      </c>
      <c r="G77" s="71">
        <v>43950</v>
      </c>
      <c r="H77" s="69"/>
      <c r="I77" s="69">
        <f t="shared" ref="I77:I83" si="12">J77+K77+L77+M77+N77+Q77</f>
        <v>38500</v>
      </c>
      <c r="J77" s="69"/>
      <c r="K77" s="69"/>
      <c r="L77" s="69"/>
      <c r="M77" s="69"/>
      <c r="N77" s="69">
        <f t="shared" ref="N77:N83" si="13">O77+P77</f>
        <v>38500</v>
      </c>
      <c r="O77" s="71">
        <v>38500</v>
      </c>
      <c r="P77" s="72"/>
      <c r="Q77" s="71"/>
      <c r="R77" s="71"/>
      <c r="S77" s="63">
        <f t="shared" si="9"/>
        <v>87.599544937428902</v>
      </c>
      <c r="T77" s="73"/>
      <c r="U77" s="73"/>
      <c r="V77" s="74">
        <f t="shared" si="8"/>
        <v>87.599544937428902</v>
      </c>
      <c r="W77" s="74"/>
    </row>
    <row r="78" spans="1:23" ht="33.6" customHeight="1" x14ac:dyDescent="0.35">
      <c r="A78" s="67">
        <v>67</v>
      </c>
      <c r="B78" s="68" t="s">
        <v>223</v>
      </c>
      <c r="C78" s="69">
        <f t="shared" si="10"/>
        <v>257300</v>
      </c>
      <c r="D78" s="69"/>
      <c r="E78" s="69"/>
      <c r="F78" s="69">
        <f t="shared" si="11"/>
        <v>257300</v>
      </c>
      <c r="G78" s="71">
        <v>257300</v>
      </c>
      <c r="H78" s="69"/>
      <c r="I78" s="69">
        <f t="shared" si="12"/>
        <v>191000</v>
      </c>
      <c r="J78" s="69"/>
      <c r="K78" s="69"/>
      <c r="L78" s="69"/>
      <c r="M78" s="69"/>
      <c r="N78" s="69">
        <f t="shared" si="13"/>
        <v>191000</v>
      </c>
      <c r="O78" s="71">
        <v>191000</v>
      </c>
      <c r="P78" s="72"/>
      <c r="Q78" s="71"/>
      <c r="R78" s="71"/>
      <c r="S78" s="63">
        <f t="shared" si="9"/>
        <v>74.232413525068026</v>
      </c>
      <c r="T78" s="73"/>
      <c r="U78" s="73"/>
      <c r="V78" s="74">
        <f t="shared" si="8"/>
        <v>74.232413525068026</v>
      </c>
      <c r="W78" s="74"/>
    </row>
    <row r="79" spans="1:23" ht="33.6" customHeight="1" x14ac:dyDescent="0.35">
      <c r="A79" s="67">
        <v>68</v>
      </c>
      <c r="B79" s="68" t="s">
        <v>224</v>
      </c>
      <c r="C79" s="69">
        <f t="shared" si="10"/>
        <v>330800</v>
      </c>
      <c r="D79" s="69"/>
      <c r="E79" s="69"/>
      <c r="F79" s="69">
        <f t="shared" si="11"/>
        <v>330800</v>
      </c>
      <c r="G79" s="71">
        <v>330800</v>
      </c>
      <c r="H79" s="69"/>
      <c r="I79" s="69">
        <f t="shared" si="12"/>
        <v>295000</v>
      </c>
      <c r="J79" s="69"/>
      <c r="K79" s="69"/>
      <c r="L79" s="69"/>
      <c r="M79" s="69"/>
      <c r="N79" s="69">
        <f t="shared" si="13"/>
        <v>295000</v>
      </c>
      <c r="O79" s="71">
        <v>295000</v>
      </c>
      <c r="P79" s="72"/>
      <c r="Q79" s="71"/>
      <c r="R79" s="71"/>
      <c r="S79" s="63">
        <f t="shared" si="9"/>
        <v>89.177750906892385</v>
      </c>
      <c r="T79" s="73"/>
      <c r="U79" s="73"/>
      <c r="V79" s="74">
        <f t="shared" si="8"/>
        <v>89.177750906892385</v>
      </c>
      <c r="W79" s="74"/>
    </row>
    <row r="80" spans="1:23" ht="33.6" customHeight="1" x14ac:dyDescent="0.35">
      <c r="A80" s="67">
        <v>69</v>
      </c>
      <c r="B80" s="68" t="s">
        <v>225</v>
      </c>
      <c r="C80" s="69">
        <f t="shared" si="10"/>
        <v>1441700</v>
      </c>
      <c r="D80" s="69"/>
      <c r="E80" s="69"/>
      <c r="F80" s="69">
        <f t="shared" si="11"/>
        <v>1441700</v>
      </c>
      <c r="G80" s="71">
        <v>1441700</v>
      </c>
      <c r="H80" s="69"/>
      <c r="I80" s="69">
        <f t="shared" si="12"/>
        <v>1269000</v>
      </c>
      <c r="J80" s="69"/>
      <c r="K80" s="69"/>
      <c r="L80" s="69"/>
      <c r="M80" s="69"/>
      <c r="N80" s="69">
        <f t="shared" si="13"/>
        <v>1269000</v>
      </c>
      <c r="O80" s="71">
        <v>1269000</v>
      </c>
      <c r="P80" s="72"/>
      <c r="Q80" s="71"/>
      <c r="R80" s="71"/>
      <c r="S80" s="63">
        <f t="shared" si="9"/>
        <v>88.0210862176597</v>
      </c>
      <c r="T80" s="73"/>
      <c r="U80" s="73"/>
      <c r="V80" s="74">
        <f t="shared" si="8"/>
        <v>88.0210862176597</v>
      </c>
      <c r="W80" s="74"/>
    </row>
    <row r="81" spans="1:23" ht="33.6" customHeight="1" x14ac:dyDescent="0.35">
      <c r="A81" s="67">
        <v>70</v>
      </c>
      <c r="B81" s="68" t="s">
        <v>226</v>
      </c>
      <c r="C81" s="69">
        <f t="shared" si="10"/>
        <v>77352.115000000005</v>
      </c>
      <c r="D81" s="76">
        <v>77352.115000000005</v>
      </c>
      <c r="E81" s="69"/>
      <c r="F81" s="69">
        <f t="shared" si="11"/>
        <v>0</v>
      </c>
      <c r="G81" s="71">
        <v>0</v>
      </c>
      <c r="H81" s="69"/>
      <c r="I81" s="69">
        <f t="shared" si="12"/>
        <v>76947.827000000005</v>
      </c>
      <c r="J81" s="69">
        <v>76947.827000000005</v>
      </c>
      <c r="K81" s="69"/>
      <c r="L81" s="69"/>
      <c r="M81" s="69"/>
      <c r="N81" s="69">
        <f t="shared" si="13"/>
        <v>0</v>
      </c>
      <c r="O81" s="71"/>
      <c r="P81" s="72"/>
      <c r="Q81" s="71"/>
      <c r="R81" s="71"/>
      <c r="S81" s="63">
        <f t="shared" si="9"/>
        <v>99.477340729468096</v>
      </c>
      <c r="T81" s="73">
        <f t="shared" si="9"/>
        <v>99.477340729468096</v>
      </c>
      <c r="U81" s="73"/>
      <c r="V81" s="74"/>
      <c r="W81" s="74"/>
    </row>
    <row r="82" spans="1:23" ht="33.6" customHeight="1" x14ac:dyDescent="0.35">
      <c r="A82" s="67">
        <v>71</v>
      </c>
      <c r="B82" s="68" t="s">
        <v>227</v>
      </c>
      <c r="C82" s="69">
        <f t="shared" si="10"/>
        <v>137955.264</v>
      </c>
      <c r="D82" s="78">
        <v>137955.264</v>
      </c>
      <c r="E82" s="69"/>
      <c r="F82" s="69">
        <f t="shared" si="11"/>
        <v>0</v>
      </c>
      <c r="G82" s="71">
        <v>0</v>
      </c>
      <c r="H82" s="69"/>
      <c r="I82" s="69">
        <f t="shared" si="12"/>
        <v>132478</v>
      </c>
      <c r="J82" s="69">
        <v>132478</v>
      </c>
      <c r="K82" s="69"/>
      <c r="L82" s="69"/>
      <c r="M82" s="69"/>
      <c r="N82" s="69">
        <f t="shared" si="13"/>
        <v>0</v>
      </c>
      <c r="O82" s="71"/>
      <c r="P82" s="72"/>
      <c r="Q82" s="71"/>
      <c r="R82" s="71"/>
      <c r="S82" s="63">
        <f t="shared" si="9"/>
        <v>96.029681042109431</v>
      </c>
      <c r="T82" s="73">
        <f t="shared" si="9"/>
        <v>96.029681042109431</v>
      </c>
      <c r="U82" s="73"/>
      <c r="V82" s="74"/>
      <c r="W82" s="74"/>
    </row>
    <row r="83" spans="1:23" ht="33.6" customHeight="1" x14ac:dyDescent="0.35">
      <c r="A83" s="67">
        <v>72</v>
      </c>
      <c r="B83" s="68" t="s">
        <v>228</v>
      </c>
      <c r="C83" s="69">
        <f t="shared" si="10"/>
        <v>1016000</v>
      </c>
      <c r="D83" s="69"/>
      <c r="E83" s="69"/>
      <c r="F83" s="69">
        <f t="shared" si="11"/>
        <v>1016000</v>
      </c>
      <c r="G83" s="71">
        <v>1016000</v>
      </c>
      <c r="H83" s="69"/>
      <c r="I83" s="69">
        <f t="shared" si="12"/>
        <v>910000</v>
      </c>
      <c r="J83" s="69"/>
      <c r="K83" s="69"/>
      <c r="L83" s="69"/>
      <c r="M83" s="69"/>
      <c r="N83" s="69">
        <f t="shared" si="13"/>
        <v>910000</v>
      </c>
      <c r="O83" s="71">
        <v>910000</v>
      </c>
      <c r="P83" s="72"/>
      <c r="Q83" s="71"/>
      <c r="R83" s="71"/>
      <c r="S83" s="63">
        <f t="shared" si="9"/>
        <v>89.566929133858267</v>
      </c>
      <c r="T83" s="73"/>
      <c r="U83" s="73"/>
      <c r="V83" s="74">
        <f t="shared" si="8"/>
        <v>89.566929133858267</v>
      </c>
      <c r="W83" s="74"/>
    </row>
    <row r="84" spans="1:23" ht="33.6" customHeight="1" x14ac:dyDescent="0.35">
      <c r="A84" s="79">
        <v>73</v>
      </c>
      <c r="B84" s="80" t="s">
        <v>229</v>
      </c>
      <c r="C84" s="69">
        <f t="shared" si="10"/>
        <v>53860</v>
      </c>
      <c r="D84" s="69"/>
      <c r="E84" s="69">
        <f>53860</f>
        <v>53860</v>
      </c>
      <c r="F84" s="69"/>
      <c r="G84" s="71"/>
      <c r="H84" s="69"/>
      <c r="I84" s="69">
        <f>J84+K84+L84+M84+Q84+R84</f>
        <v>10599893.289000001</v>
      </c>
      <c r="J84" s="69"/>
      <c r="K84" s="69">
        <f>53860</f>
        <v>53860</v>
      </c>
      <c r="L84" s="69"/>
      <c r="M84" s="69"/>
      <c r="N84" s="69"/>
      <c r="O84" s="71"/>
      <c r="P84" s="72"/>
      <c r="Q84" s="81">
        <f>9850802272/1000</f>
        <v>9850802.2719999999</v>
      </c>
      <c r="R84" s="81">
        <f>695231017/1000</f>
        <v>695231.01699999999</v>
      </c>
      <c r="S84" s="63">
        <f t="shared" si="9"/>
        <v>19680.455419606387</v>
      </c>
      <c r="T84" s="73"/>
      <c r="U84" s="73">
        <f t="shared" ref="U84" si="14">K84/E84*100</f>
        <v>100</v>
      </c>
      <c r="V84" s="74"/>
      <c r="W84" s="74"/>
    </row>
    <row r="85" spans="1:23" x14ac:dyDescent="0.35">
      <c r="A85" s="82" t="s">
        <v>230</v>
      </c>
    </row>
    <row r="86" spans="1:23" x14ac:dyDescent="0.35">
      <c r="A86" s="83" t="s">
        <v>231</v>
      </c>
    </row>
    <row r="87" spans="1:23" x14ac:dyDescent="0.35">
      <c r="A87" s="83" t="s">
        <v>232</v>
      </c>
    </row>
    <row r="88" spans="1:23" x14ac:dyDescent="0.35">
      <c r="A88" s="83" t="s">
        <v>233</v>
      </c>
    </row>
    <row r="89" spans="1:23" x14ac:dyDescent="0.35">
      <c r="A89" s="84"/>
    </row>
    <row r="90" spans="1:23" x14ac:dyDescent="0.35">
      <c r="A90" s="85"/>
    </row>
    <row r="91" spans="1:23" x14ac:dyDescent="0.35">
      <c r="A91" s="85"/>
    </row>
    <row r="92" spans="1:23" x14ac:dyDescent="0.35">
      <c r="A92" s="85"/>
    </row>
    <row r="93" spans="1:23" x14ac:dyDescent="0.35">
      <c r="A93" s="85"/>
    </row>
    <row r="94" spans="1:23" x14ac:dyDescent="0.35">
      <c r="A94" s="85"/>
    </row>
    <row r="95" spans="1:23" x14ac:dyDescent="0.35">
      <c r="A95" s="85"/>
    </row>
    <row r="96" spans="1:23" x14ac:dyDescent="0.35">
      <c r="A96" s="85"/>
    </row>
    <row r="97" spans="1:1" x14ac:dyDescent="0.35">
      <c r="A97" s="85"/>
    </row>
    <row r="98" spans="1:1" x14ac:dyDescent="0.35">
      <c r="A98" s="85"/>
    </row>
    <row r="99" spans="1:1" x14ac:dyDescent="0.35">
      <c r="A99" s="85"/>
    </row>
    <row r="100" spans="1:1" x14ac:dyDescent="0.35">
      <c r="A100" s="85"/>
    </row>
  </sheetData>
  <mergeCells count="25">
    <mergeCell ref="A4:U4"/>
    <mergeCell ref="A6:A8"/>
    <mergeCell ref="B6:B8"/>
    <mergeCell ref="C6:H6"/>
    <mergeCell ref="I6:R6"/>
    <mergeCell ref="S6:W6"/>
    <mergeCell ref="C7:C8"/>
    <mergeCell ref="D7:D8"/>
    <mergeCell ref="E7:E8"/>
    <mergeCell ref="V7:W7"/>
    <mergeCell ref="A11:B11"/>
    <mergeCell ref="T2:W2"/>
    <mergeCell ref="N7:P7"/>
    <mergeCell ref="Q7:Q8"/>
    <mergeCell ref="R7:R8"/>
    <mergeCell ref="S7:S8"/>
    <mergeCell ref="T7:T8"/>
    <mergeCell ref="U7:U8"/>
    <mergeCell ref="F7:H7"/>
    <mergeCell ref="I7:I8"/>
    <mergeCell ref="J7:J8"/>
    <mergeCell ref="K7:K8"/>
    <mergeCell ref="L7:L8"/>
    <mergeCell ref="M7:M8"/>
    <mergeCell ref="A3:U3"/>
  </mergeCells>
  <pageMargins left="0.7" right="0.7" top="0.75" bottom="0.75" header="0.3" footer="0.3"/>
  <pageSetup paperSize="9" scale="37" fitToHeight="0"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465B-C2B8-492B-9E90-B0620A795D51}">
  <dimension ref="A1:AJ80"/>
  <sheetViews>
    <sheetView topLeftCell="M1" zoomScale="62" zoomScaleNormal="62" workbookViewId="0">
      <selection activeCell="Q5" sqref="Q5:U6"/>
    </sheetView>
  </sheetViews>
  <sheetFormatPr defaultRowHeight="13.8" x14ac:dyDescent="0.25"/>
  <cols>
    <col min="1" max="1" width="5.6328125" style="17" customWidth="1"/>
    <col min="2" max="2" width="27.7265625" style="16" customWidth="1"/>
    <col min="3" max="3" width="10.7265625" style="16" customWidth="1"/>
    <col min="4" max="5" width="8.7265625" style="16"/>
    <col min="6" max="6" width="16.6328125" style="16" customWidth="1"/>
    <col min="7" max="7" width="14.08984375" style="16" customWidth="1"/>
    <col min="8" max="8" width="7.36328125" style="16" bestFit="1" customWidth="1"/>
    <col min="9" max="9" width="13" style="16" customWidth="1"/>
    <col min="10" max="10" width="13.453125" style="16" customWidth="1"/>
    <col min="11" max="11" width="13.6328125" style="16" customWidth="1"/>
    <col min="12" max="12" width="14.6328125" style="16" customWidth="1"/>
    <col min="13" max="13" width="8.1796875" style="16" customWidth="1"/>
    <col min="14" max="14" width="12.81640625" style="16" customWidth="1"/>
    <col min="15" max="15" width="10.453125" style="16" customWidth="1"/>
    <col min="16" max="16" width="12.90625" style="16" customWidth="1"/>
    <col min="17" max="17" width="13.7265625" style="16" customWidth="1"/>
    <col min="18" max="18" width="7.36328125" style="16" bestFit="1" customWidth="1"/>
    <col min="19" max="19" width="13.26953125" style="16" customWidth="1"/>
    <col min="20" max="20" width="12.36328125" style="16" customWidth="1"/>
    <col min="21" max="21" width="13.54296875" style="16" customWidth="1"/>
    <col min="22" max="22" width="15" style="16" customWidth="1"/>
    <col min="23" max="23" width="7.54296875" style="16" bestFit="1" customWidth="1"/>
    <col min="24" max="24" width="15.1796875" style="16" customWidth="1"/>
    <col min="25" max="25" width="12.54296875" style="16" customWidth="1"/>
    <col min="26" max="26" width="12.7265625" style="16" customWidth="1"/>
    <col min="27" max="27" width="14.08984375" style="16" customWidth="1"/>
    <col min="28" max="28" width="7.54296875" style="16" bestFit="1" customWidth="1"/>
    <col min="29" max="29" width="11.7265625" style="16" customWidth="1"/>
    <col min="30" max="30" width="12.453125" style="16" customWidth="1"/>
    <col min="31" max="31" width="13.36328125" style="16" customWidth="1"/>
    <col min="32" max="32" width="9.54296875" style="16" customWidth="1"/>
    <col min="33" max="33" width="8.7265625" style="16"/>
    <col min="34" max="34" width="9.36328125" style="16" bestFit="1" customWidth="1"/>
    <col min="35" max="16384" width="8.7265625" style="16"/>
  </cols>
  <sheetData>
    <row r="1" spans="1:36" ht="15.6" x14ac:dyDescent="0.25">
      <c r="AJ1" s="1" t="s">
        <v>450</v>
      </c>
    </row>
    <row r="2" spans="1:36" ht="15.6" x14ac:dyDescent="0.25">
      <c r="A2" s="243" t="s">
        <v>266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row>
    <row r="3" spans="1:36" ht="24.6" customHeight="1" x14ac:dyDescent="0.25">
      <c r="A3" s="245" t="str">
        <f>'Quyết toán chi theo lĩnh vực'!A4:U4</f>
        <v>(Kèm theo Quyết định số 244/QĐ-UBND ngày 10 tháng 4 năm 2026 của UBND xã Thanh Thịnh)</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row>
    <row r="4" spans="1:36" ht="15.6" x14ac:dyDescent="0.25">
      <c r="AJ4" s="2" t="s">
        <v>2</v>
      </c>
    </row>
    <row r="5" spans="1:36" s="123" customFormat="1" ht="15.6" customHeight="1" x14ac:dyDescent="0.25">
      <c r="A5" s="265" t="s">
        <v>3</v>
      </c>
      <c r="B5" s="265" t="s">
        <v>267</v>
      </c>
      <c r="C5" s="265" t="s">
        <v>268</v>
      </c>
      <c r="D5" s="265" t="s">
        <v>269</v>
      </c>
      <c r="E5" s="265" t="s">
        <v>270</v>
      </c>
      <c r="F5" s="265" t="s">
        <v>271</v>
      </c>
      <c r="G5" s="265"/>
      <c r="H5" s="265"/>
      <c r="I5" s="265"/>
      <c r="J5" s="265"/>
      <c r="K5" s="265"/>
      <c r="L5" s="265" t="s">
        <v>272</v>
      </c>
      <c r="M5" s="265"/>
      <c r="N5" s="265"/>
      <c r="O5" s="265"/>
      <c r="P5" s="265"/>
      <c r="Q5" s="265" t="s">
        <v>273</v>
      </c>
      <c r="R5" s="265"/>
      <c r="S5" s="265"/>
      <c r="T5" s="265"/>
      <c r="U5" s="265"/>
      <c r="V5" s="265" t="s">
        <v>274</v>
      </c>
      <c r="W5" s="265"/>
      <c r="X5" s="265"/>
      <c r="Y5" s="265"/>
      <c r="Z5" s="265"/>
      <c r="AA5" s="265" t="s">
        <v>275</v>
      </c>
      <c r="AB5" s="265"/>
      <c r="AC5" s="265"/>
      <c r="AD5" s="265"/>
      <c r="AE5" s="265"/>
      <c r="AF5" s="265" t="s">
        <v>62</v>
      </c>
      <c r="AG5" s="265"/>
      <c r="AH5" s="265"/>
      <c r="AI5" s="265"/>
      <c r="AJ5" s="265"/>
    </row>
    <row r="6" spans="1:36" s="123" customFormat="1" ht="14.25" customHeight="1" x14ac:dyDescent="0.25">
      <c r="A6" s="265"/>
      <c r="B6" s="265"/>
      <c r="C6" s="265"/>
      <c r="D6" s="265"/>
      <c r="E6" s="265"/>
      <c r="F6" s="265" t="s">
        <v>276</v>
      </c>
      <c r="G6" s="265" t="s">
        <v>277</v>
      </c>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row>
    <row r="7" spans="1:36" s="123" customFormat="1" ht="21.75" customHeight="1" x14ac:dyDescent="0.25">
      <c r="A7" s="265"/>
      <c r="B7" s="265"/>
      <c r="C7" s="265"/>
      <c r="D7" s="265"/>
      <c r="E7" s="265"/>
      <c r="F7" s="265"/>
      <c r="G7" s="265" t="s">
        <v>278</v>
      </c>
      <c r="H7" s="265" t="s">
        <v>279</v>
      </c>
      <c r="I7" s="265"/>
      <c r="J7" s="265"/>
      <c r="K7" s="265"/>
      <c r="L7" s="265" t="s">
        <v>145</v>
      </c>
      <c r="M7" s="265" t="s">
        <v>279</v>
      </c>
      <c r="N7" s="265"/>
      <c r="O7" s="265"/>
      <c r="P7" s="265"/>
      <c r="Q7" s="265" t="s">
        <v>145</v>
      </c>
      <c r="R7" s="265" t="s">
        <v>279</v>
      </c>
      <c r="S7" s="265"/>
      <c r="T7" s="265"/>
      <c r="U7" s="265"/>
      <c r="V7" s="265" t="s">
        <v>145</v>
      </c>
      <c r="W7" s="265" t="s">
        <v>279</v>
      </c>
      <c r="X7" s="265"/>
      <c r="Y7" s="265"/>
      <c r="Z7" s="265"/>
      <c r="AA7" s="265" t="s">
        <v>145</v>
      </c>
      <c r="AB7" s="265" t="s">
        <v>279</v>
      </c>
      <c r="AC7" s="265"/>
      <c r="AD7" s="265"/>
      <c r="AE7" s="265"/>
      <c r="AF7" s="265" t="s">
        <v>145</v>
      </c>
      <c r="AG7" s="265" t="s">
        <v>279</v>
      </c>
      <c r="AH7" s="265"/>
      <c r="AI7" s="265"/>
      <c r="AJ7" s="265"/>
    </row>
    <row r="8" spans="1:36" s="123" customFormat="1" ht="95.25" customHeight="1" x14ac:dyDescent="0.25">
      <c r="A8" s="265"/>
      <c r="B8" s="265"/>
      <c r="C8" s="265"/>
      <c r="D8" s="265"/>
      <c r="E8" s="265"/>
      <c r="F8" s="265"/>
      <c r="G8" s="265"/>
      <c r="H8" s="122" t="s">
        <v>280</v>
      </c>
      <c r="I8" s="122" t="s">
        <v>281</v>
      </c>
      <c r="J8" s="122" t="s">
        <v>282</v>
      </c>
      <c r="K8" s="122" t="s">
        <v>283</v>
      </c>
      <c r="L8" s="265"/>
      <c r="M8" s="122" t="s">
        <v>280</v>
      </c>
      <c r="N8" s="122" t="s">
        <v>281</v>
      </c>
      <c r="O8" s="122" t="s">
        <v>282</v>
      </c>
      <c r="P8" s="122" t="s">
        <v>283</v>
      </c>
      <c r="Q8" s="265"/>
      <c r="R8" s="122" t="s">
        <v>280</v>
      </c>
      <c r="S8" s="122" t="s">
        <v>281</v>
      </c>
      <c r="T8" s="122" t="s">
        <v>282</v>
      </c>
      <c r="U8" s="122" t="s">
        <v>283</v>
      </c>
      <c r="V8" s="265"/>
      <c r="W8" s="122" t="s">
        <v>280</v>
      </c>
      <c r="X8" s="122" t="s">
        <v>281</v>
      </c>
      <c r="Y8" s="122" t="s">
        <v>282</v>
      </c>
      <c r="Z8" s="122" t="s">
        <v>284</v>
      </c>
      <c r="AA8" s="265"/>
      <c r="AB8" s="122" t="s">
        <v>280</v>
      </c>
      <c r="AC8" s="122" t="s">
        <v>281</v>
      </c>
      <c r="AD8" s="122" t="s">
        <v>282</v>
      </c>
      <c r="AE8" s="122" t="s">
        <v>284</v>
      </c>
      <c r="AF8" s="265"/>
      <c r="AG8" s="122" t="s">
        <v>280</v>
      </c>
      <c r="AH8" s="122" t="s">
        <v>281</v>
      </c>
      <c r="AI8" s="122" t="s">
        <v>282</v>
      </c>
      <c r="AJ8" s="122" t="s">
        <v>284</v>
      </c>
    </row>
    <row r="9" spans="1:36" s="54" customFormat="1" ht="13.2" x14ac:dyDescent="0.25">
      <c r="A9" s="6" t="s">
        <v>10</v>
      </c>
      <c r="B9" s="6" t="s">
        <v>11</v>
      </c>
      <c r="C9" s="6">
        <v>1</v>
      </c>
      <c r="D9" s="6">
        <v>2</v>
      </c>
      <c r="E9" s="6">
        <v>3</v>
      </c>
      <c r="F9" s="6">
        <v>4</v>
      </c>
      <c r="G9" s="6">
        <v>5</v>
      </c>
      <c r="H9" s="6">
        <v>6</v>
      </c>
      <c r="I9" s="6">
        <v>7</v>
      </c>
      <c r="J9" s="6">
        <v>8</v>
      </c>
      <c r="K9" s="6">
        <v>9</v>
      </c>
      <c r="L9" s="6">
        <v>10</v>
      </c>
      <c r="M9" s="6">
        <v>11</v>
      </c>
      <c r="N9" s="6">
        <v>12</v>
      </c>
      <c r="O9" s="6">
        <v>13</v>
      </c>
      <c r="P9" s="6">
        <v>14</v>
      </c>
      <c r="Q9" s="6">
        <v>15</v>
      </c>
      <c r="R9" s="6">
        <v>16</v>
      </c>
      <c r="S9" s="6">
        <v>17</v>
      </c>
      <c r="T9" s="6">
        <v>18</v>
      </c>
      <c r="U9" s="6">
        <v>19</v>
      </c>
      <c r="V9" s="6">
        <v>20</v>
      </c>
      <c r="W9" s="6">
        <v>21</v>
      </c>
      <c r="X9" s="6">
        <v>22</v>
      </c>
      <c r="Y9" s="6">
        <v>23</v>
      </c>
      <c r="Z9" s="6">
        <v>24</v>
      </c>
      <c r="AA9" s="6">
        <v>25</v>
      </c>
      <c r="AB9" s="6">
        <v>26</v>
      </c>
      <c r="AC9" s="6">
        <v>27</v>
      </c>
      <c r="AD9" s="6">
        <v>28</v>
      </c>
      <c r="AE9" s="6">
        <v>29</v>
      </c>
      <c r="AF9" s="6" t="s">
        <v>285</v>
      </c>
      <c r="AG9" s="6" t="s">
        <v>286</v>
      </c>
      <c r="AH9" s="6" t="s">
        <v>287</v>
      </c>
      <c r="AI9" s="6" t="s">
        <v>288</v>
      </c>
      <c r="AJ9" s="6" t="s">
        <v>289</v>
      </c>
    </row>
    <row r="10" spans="1:36" ht="28.8" customHeight="1" x14ac:dyDescent="0.25">
      <c r="A10" s="266" t="s">
        <v>145</v>
      </c>
      <c r="B10" s="267"/>
      <c r="C10" s="3"/>
      <c r="D10" s="5"/>
      <c r="E10" s="3"/>
      <c r="F10" s="3"/>
      <c r="G10" s="124">
        <v>57319580.114999995</v>
      </c>
      <c r="H10" s="125">
        <v>0</v>
      </c>
      <c r="I10" s="125">
        <v>19827260</v>
      </c>
      <c r="J10" s="125">
        <v>1010970</v>
      </c>
      <c r="K10" s="125">
        <v>36481350.115000002</v>
      </c>
      <c r="L10" s="125">
        <v>51737087.222000003</v>
      </c>
      <c r="M10" s="125">
        <v>0</v>
      </c>
      <c r="N10" s="125">
        <v>18444340.014999997</v>
      </c>
      <c r="O10" s="125">
        <v>729629.11600000004</v>
      </c>
      <c r="P10" s="125">
        <v>32563118.090999998</v>
      </c>
      <c r="Q10" s="125">
        <v>52706252.378999993</v>
      </c>
      <c r="R10" s="125">
        <v>0</v>
      </c>
      <c r="S10" s="125">
        <v>19786160</v>
      </c>
      <c r="T10" s="125">
        <v>1008570</v>
      </c>
      <c r="U10" s="125">
        <v>31911522.379000001</v>
      </c>
      <c r="V10" s="125">
        <f>V11</f>
        <v>21648128.666999999</v>
      </c>
      <c r="W10" s="125">
        <f t="shared" ref="W10:AE11" si="0">W11</f>
        <v>0</v>
      </c>
      <c r="X10" s="125">
        <f t="shared" si="0"/>
        <v>11492965.557</v>
      </c>
      <c r="Y10" s="125">
        <f t="shared" si="0"/>
        <v>692140.66299999994</v>
      </c>
      <c r="Z10" s="125">
        <f t="shared" si="0"/>
        <v>9451222.4470000006</v>
      </c>
      <c r="AA10" s="125">
        <f t="shared" si="0"/>
        <v>18364016.785</v>
      </c>
      <c r="AB10" s="125">
        <f t="shared" si="0"/>
        <v>0</v>
      </c>
      <c r="AC10" s="125">
        <f t="shared" si="0"/>
        <v>9550751.8139999993</v>
      </c>
      <c r="AD10" s="125">
        <f t="shared" si="0"/>
        <v>295165.39199999999</v>
      </c>
      <c r="AE10" s="125">
        <f t="shared" si="0"/>
        <v>8509899.5789999999</v>
      </c>
      <c r="AF10" s="126">
        <f>AA10/V10*100</f>
        <v>84.829580734124903</v>
      </c>
      <c r="AG10" s="19"/>
      <c r="AH10" s="127">
        <f>AC10/X10*100</f>
        <v>83.10084778930657</v>
      </c>
      <c r="AI10" s="19"/>
      <c r="AJ10" s="19"/>
    </row>
    <row r="11" spans="1:36" ht="37.799999999999997" customHeight="1" x14ac:dyDescent="0.25">
      <c r="A11" s="3" t="s">
        <v>10</v>
      </c>
      <c r="B11" s="128" t="s">
        <v>290</v>
      </c>
      <c r="C11" s="129"/>
      <c r="D11" s="67"/>
      <c r="E11" s="122"/>
      <c r="F11" s="122"/>
      <c r="G11" s="20">
        <v>57319580.114999995</v>
      </c>
      <c r="H11" s="62">
        <v>0</v>
      </c>
      <c r="I11" s="62">
        <v>19827260</v>
      </c>
      <c r="J11" s="62">
        <v>1010970</v>
      </c>
      <c r="K11" s="62">
        <v>36481350.115000002</v>
      </c>
      <c r="L11" s="62">
        <v>51737087.222000003</v>
      </c>
      <c r="M11" s="62">
        <v>0</v>
      </c>
      <c r="N11" s="62">
        <v>18444340.014999997</v>
      </c>
      <c r="O11" s="62">
        <v>729629.11600000004</v>
      </c>
      <c r="P11" s="62">
        <v>32563118.090999998</v>
      </c>
      <c r="Q11" s="62">
        <v>52706252.378999993</v>
      </c>
      <c r="R11" s="62">
        <v>0</v>
      </c>
      <c r="S11" s="62">
        <v>19786160</v>
      </c>
      <c r="T11" s="62">
        <v>1008570</v>
      </c>
      <c r="U11" s="62">
        <v>31911522.379000001</v>
      </c>
      <c r="V11" s="62">
        <f>V12</f>
        <v>21648128.666999999</v>
      </c>
      <c r="W11" s="62">
        <f t="shared" si="0"/>
        <v>0</v>
      </c>
      <c r="X11" s="62">
        <f t="shared" si="0"/>
        <v>11492965.557</v>
      </c>
      <c r="Y11" s="62">
        <f t="shared" si="0"/>
        <v>692140.66299999994</v>
      </c>
      <c r="Z11" s="62">
        <f t="shared" si="0"/>
        <v>9451222.4470000006</v>
      </c>
      <c r="AA11" s="62">
        <f t="shared" si="0"/>
        <v>18364016.785</v>
      </c>
      <c r="AB11" s="62">
        <f t="shared" si="0"/>
        <v>0</v>
      </c>
      <c r="AC11" s="62">
        <f t="shared" si="0"/>
        <v>9550751.8139999993</v>
      </c>
      <c r="AD11" s="62">
        <f t="shared" si="0"/>
        <v>295165.39199999999</v>
      </c>
      <c r="AE11" s="62">
        <f t="shared" si="0"/>
        <v>8509899.5789999999</v>
      </c>
      <c r="AF11" s="126">
        <f t="shared" ref="AF11:AF74" si="1">AA11/V11*100</f>
        <v>84.829580734124903</v>
      </c>
      <c r="AG11" s="50"/>
      <c r="AH11" s="127">
        <f>AC11/X11*100</f>
        <v>83.10084778930657</v>
      </c>
      <c r="AI11" s="50"/>
      <c r="AJ11" s="50"/>
    </row>
    <row r="12" spans="1:36" ht="28.8" customHeight="1" x14ac:dyDescent="0.25">
      <c r="A12" s="3" t="s">
        <v>15</v>
      </c>
      <c r="B12" s="128" t="s">
        <v>291</v>
      </c>
      <c r="C12" s="129"/>
      <c r="D12" s="67"/>
      <c r="E12" s="122"/>
      <c r="F12" s="122"/>
      <c r="G12" s="40">
        <v>57319580.114999995</v>
      </c>
      <c r="H12" s="40">
        <v>0</v>
      </c>
      <c r="I12" s="40">
        <v>19827260</v>
      </c>
      <c r="J12" s="40">
        <v>1010970</v>
      </c>
      <c r="K12" s="40">
        <v>36481350.115000002</v>
      </c>
      <c r="L12" s="40">
        <v>51737087.222000003</v>
      </c>
      <c r="M12" s="40">
        <v>0</v>
      </c>
      <c r="N12" s="40">
        <v>18444340.014999997</v>
      </c>
      <c r="O12" s="40">
        <v>729629.11600000004</v>
      </c>
      <c r="P12" s="40">
        <v>32563118.090999998</v>
      </c>
      <c r="Q12" s="40">
        <v>52706252.378999993</v>
      </c>
      <c r="R12" s="40">
        <v>0</v>
      </c>
      <c r="S12" s="40">
        <v>19786160</v>
      </c>
      <c r="T12" s="40">
        <v>1008570</v>
      </c>
      <c r="U12" s="40">
        <v>31911522.379000001</v>
      </c>
      <c r="V12" s="40">
        <f>V13+V15+V21+V78</f>
        <v>21648128.666999999</v>
      </c>
      <c r="W12" s="40">
        <f t="shared" ref="W12:AE12" si="2">W13+W15+W21+W78</f>
        <v>0</v>
      </c>
      <c r="X12" s="40">
        <f t="shared" si="2"/>
        <v>11492965.557</v>
      </c>
      <c r="Y12" s="40">
        <f t="shared" si="2"/>
        <v>692140.66299999994</v>
      </c>
      <c r="Z12" s="40">
        <f>Z13+Z15+Z21+Z78</f>
        <v>9451222.4470000006</v>
      </c>
      <c r="AA12" s="40">
        <f t="shared" si="2"/>
        <v>18364016.785</v>
      </c>
      <c r="AB12" s="40">
        <f t="shared" si="2"/>
        <v>0</v>
      </c>
      <c r="AC12" s="40">
        <f t="shared" si="2"/>
        <v>9550751.8139999993</v>
      </c>
      <c r="AD12" s="40">
        <f t="shared" si="2"/>
        <v>295165.39199999999</v>
      </c>
      <c r="AE12" s="40">
        <f t="shared" si="2"/>
        <v>8509899.5789999999</v>
      </c>
      <c r="AF12" s="130">
        <f t="shared" si="1"/>
        <v>84.829580734124903</v>
      </c>
      <c r="AG12" s="43"/>
      <c r="AH12" s="131">
        <f>AC12/X12*100</f>
        <v>83.10084778930657</v>
      </c>
      <c r="AI12" s="43"/>
      <c r="AJ12" s="43"/>
    </row>
    <row r="13" spans="1:36" ht="26.4" customHeight="1" x14ac:dyDescent="0.25">
      <c r="A13" s="3" t="s">
        <v>292</v>
      </c>
      <c r="B13" s="128" t="s">
        <v>125</v>
      </c>
      <c r="C13" s="129"/>
      <c r="D13" s="67"/>
      <c r="E13" s="122"/>
      <c r="F13" s="122"/>
      <c r="G13" s="40">
        <v>17900000</v>
      </c>
      <c r="H13" s="40">
        <v>0</v>
      </c>
      <c r="I13" s="40">
        <v>0</v>
      </c>
      <c r="J13" s="40">
        <v>0</v>
      </c>
      <c r="K13" s="40">
        <v>17900000</v>
      </c>
      <c r="L13" s="40">
        <v>17588000</v>
      </c>
      <c r="M13" s="40">
        <v>0</v>
      </c>
      <c r="N13" s="40">
        <v>0</v>
      </c>
      <c r="O13" s="40">
        <v>0</v>
      </c>
      <c r="P13" s="40">
        <v>17588000</v>
      </c>
      <c r="Q13" s="40">
        <v>16000000</v>
      </c>
      <c r="R13" s="40">
        <v>0</v>
      </c>
      <c r="S13" s="40">
        <v>0</v>
      </c>
      <c r="T13" s="40">
        <v>0</v>
      </c>
      <c r="U13" s="40">
        <v>16000000</v>
      </c>
      <c r="V13" s="40">
        <f t="shared" ref="V13:AE13" si="3">V14</f>
        <v>890000</v>
      </c>
      <c r="W13" s="40">
        <f t="shared" si="3"/>
        <v>0</v>
      </c>
      <c r="X13" s="40">
        <f t="shared" si="3"/>
        <v>0</v>
      </c>
      <c r="Y13" s="40"/>
      <c r="Z13" s="40">
        <f t="shared" si="3"/>
        <v>890000</v>
      </c>
      <c r="AA13" s="40">
        <f t="shared" si="3"/>
        <v>890000</v>
      </c>
      <c r="AB13" s="40">
        <f t="shared" si="3"/>
        <v>0</v>
      </c>
      <c r="AC13" s="40">
        <f t="shared" si="3"/>
        <v>0</v>
      </c>
      <c r="AD13" s="40"/>
      <c r="AE13" s="40">
        <f t="shared" si="3"/>
        <v>890000</v>
      </c>
      <c r="AF13" s="130">
        <f t="shared" si="1"/>
        <v>100</v>
      </c>
      <c r="AG13" s="43"/>
      <c r="AH13" s="131"/>
      <c r="AI13" s="43"/>
      <c r="AJ13" s="43"/>
    </row>
    <row r="14" spans="1:36" ht="37.799999999999997" customHeight="1" x14ac:dyDescent="0.25">
      <c r="A14" s="3">
        <v>1</v>
      </c>
      <c r="B14" s="91" t="s">
        <v>170</v>
      </c>
      <c r="C14" s="132" t="s">
        <v>293</v>
      </c>
      <c r="D14" s="67" t="s">
        <v>45</v>
      </c>
      <c r="E14" s="5" t="s">
        <v>294</v>
      </c>
      <c r="F14" s="133" t="s">
        <v>295</v>
      </c>
      <c r="G14" s="134">
        <v>17900000</v>
      </c>
      <c r="H14" s="40"/>
      <c r="I14" s="40"/>
      <c r="J14" s="40"/>
      <c r="K14" s="134">
        <v>17900000</v>
      </c>
      <c r="L14" s="134">
        <v>17588000</v>
      </c>
      <c r="M14" s="40">
        <v>0</v>
      </c>
      <c r="N14" s="40"/>
      <c r="O14" s="40"/>
      <c r="P14" s="134">
        <v>17588000</v>
      </c>
      <c r="Q14" s="134">
        <v>16000000</v>
      </c>
      <c r="R14" s="134">
        <v>0</v>
      </c>
      <c r="S14" s="134">
        <v>0</v>
      </c>
      <c r="T14" s="134"/>
      <c r="U14" s="134">
        <v>16000000</v>
      </c>
      <c r="V14" s="134">
        <f>SUM(W14:Z14)</f>
        <v>890000</v>
      </c>
      <c r="W14" s="134"/>
      <c r="X14" s="134"/>
      <c r="Y14" s="134"/>
      <c r="Z14" s="134">
        <v>890000</v>
      </c>
      <c r="AA14" s="134">
        <f>SUM(AB14:AE14)</f>
        <v>890000</v>
      </c>
      <c r="AB14" s="134"/>
      <c r="AC14" s="134"/>
      <c r="AD14" s="134"/>
      <c r="AE14" s="134">
        <v>890000</v>
      </c>
      <c r="AF14" s="130">
        <f>AA14/V14*100</f>
        <v>100</v>
      </c>
      <c r="AG14" s="43"/>
      <c r="AH14" s="131"/>
      <c r="AI14" s="43"/>
      <c r="AJ14" s="43"/>
    </row>
    <row r="15" spans="1:36" ht="28.2" customHeight="1" x14ac:dyDescent="0.25">
      <c r="A15" s="3" t="s">
        <v>296</v>
      </c>
      <c r="B15" s="128" t="s">
        <v>240</v>
      </c>
      <c r="C15" s="129"/>
      <c r="D15" s="67"/>
      <c r="E15" s="122"/>
      <c r="F15" s="122"/>
      <c r="G15" s="40">
        <v>1519100</v>
      </c>
      <c r="H15" s="40">
        <v>0</v>
      </c>
      <c r="I15" s="40">
        <v>1444900</v>
      </c>
      <c r="J15" s="40">
        <v>74200</v>
      </c>
      <c r="K15" s="40">
        <v>0</v>
      </c>
      <c r="L15" s="40">
        <v>1474977.14</v>
      </c>
      <c r="M15" s="40">
        <v>0</v>
      </c>
      <c r="N15" s="40">
        <v>1404377.14</v>
      </c>
      <c r="O15" s="40">
        <v>70600</v>
      </c>
      <c r="P15" s="40">
        <v>0</v>
      </c>
      <c r="Q15" s="40">
        <v>1519100</v>
      </c>
      <c r="R15" s="40">
        <v>0</v>
      </c>
      <c r="S15" s="40">
        <v>1444900</v>
      </c>
      <c r="T15" s="40">
        <v>74200</v>
      </c>
      <c r="U15" s="40">
        <v>0</v>
      </c>
      <c r="V15" s="40">
        <f>SUM(V16:V20)</f>
        <v>359085</v>
      </c>
      <c r="W15" s="40">
        <f t="shared" ref="W15:AE15" si="4">SUM(W16:W20)</f>
        <v>0</v>
      </c>
      <c r="X15" s="40">
        <f t="shared" si="4"/>
        <v>347285</v>
      </c>
      <c r="Y15" s="40"/>
      <c r="Z15" s="40">
        <f t="shared" si="4"/>
        <v>0</v>
      </c>
      <c r="AA15" s="40">
        <f t="shared" si="4"/>
        <v>314962.14</v>
      </c>
      <c r="AB15" s="40">
        <f t="shared" si="4"/>
        <v>0</v>
      </c>
      <c r="AC15" s="40">
        <f t="shared" si="4"/>
        <v>306762.14</v>
      </c>
      <c r="AD15" s="40"/>
      <c r="AE15" s="40">
        <f t="shared" si="4"/>
        <v>0</v>
      </c>
      <c r="AF15" s="130">
        <f t="shared" si="1"/>
        <v>87.712419065123854</v>
      </c>
      <c r="AG15" s="43"/>
      <c r="AH15" s="131">
        <f t="shared" ref="AH15:AH35" si="5">AC15/X15*100</f>
        <v>88.331525980102796</v>
      </c>
      <c r="AI15" s="43"/>
      <c r="AJ15" s="43"/>
    </row>
    <row r="16" spans="1:36" ht="62.4" customHeight="1" x14ac:dyDescent="0.25">
      <c r="A16" s="5">
        <v>1</v>
      </c>
      <c r="B16" s="91" t="s">
        <v>172</v>
      </c>
      <c r="C16" s="132" t="s">
        <v>297</v>
      </c>
      <c r="D16" s="67" t="s">
        <v>45</v>
      </c>
      <c r="E16" s="135" t="s">
        <v>298</v>
      </c>
      <c r="F16" s="133" t="s">
        <v>299</v>
      </c>
      <c r="G16" s="134">
        <v>70500</v>
      </c>
      <c r="H16" s="40"/>
      <c r="I16" s="136">
        <v>67100</v>
      </c>
      <c r="J16" s="136">
        <v>3400</v>
      </c>
      <c r="K16" s="134"/>
      <c r="L16" s="40">
        <v>67238.782000000007</v>
      </c>
      <c r="M16" s="136"/>
      <c r="N16" s="136">
        <v>65638.782000000007</v>
      </c>
      <c r="O16" s="136">
        <v>1600</v>
      </c>
      <c r="P16" s="137"/>
      <c r="Q16" s="136">
        <v>70500</v>
      </c>
      <c r="R16" s="136"/>
      <c r="S16" s="136">
        <v>67100</v>
      </c>
      <c r="T16" s="136">
        <v>3400</v>
      </c>
      <c r="U16" s="136"/>
      <c r="V16" s="134">
        <f>SUM(W16:Z16)</f>
        <v>36885</v>
      </c>
      <c r="W16" s="134"/>
      <c r="X16" s="134">
        <v>33485</v>
      </c>
      <c r="Y16" s="134">
        <v>3400</v>
      </c>
      <c r="Z16" s="134"/>
      <c r="AA16" s="134">
        <f>SUM(AB16:AE16)</f>
        <v>33623.781999999999</v>
      </c>
      <c r="AB16" s="134"/>
      <c r="AC16" s="134">
        <v>32023.781999999999</v>
      </c>
      <c r="AD16" s="134">
        <v>1600</v>
      </c>
      <c r="AE16" s="134"/>
      <c r="AF16" s="130">
        <f t="shared" si="1"/>
        <v>91.158416700555776</v>
      </c>
      <c r="AG16" s="43"/>
      <c r="AH16" s="131">
        <f t="shared" si="5"/>
        <v>95.636201284157082</v>
      </c>
      <c r="AI16" s="43"/>
      <c r="AJ16" s="43"/>
    </row>
    <row r="17" spans="1:36" ht="42" customHeight="1" x14ac:dyDescent="0.25">
      <c r="A17" s="5">
        <v>2</v>
      </c>
      <c r="B17" s="91" t="s">
        <v>180</v>
      </c>
      <c r="C17" s="132" t="s">
        <v>300</v>
      </c>
      <c r="D17" s="67" t="s">
        <v>45</v>
      </c>
      <c r="E17" s="135">
        <v>2023</v>
      </c>
      <c r="F17" s="138" t="s">
        <v>301</v>
      </c>
      <c r="G17" s="134">
        <v>491600</v>
      </c>
      <c r="H17" s="40"/>
      <c r="I17" s="136">
        <v>468200</v>
      </c>
      <c r="J17" s="136">
        <v>23400</v>
      </c>
      <c r="K17" s="134"/>
      <c r="L17" s="40">
        <v>491578.33600000001</v>
      </c>
      <c r="M17" s="136"/>
      <c r="N17" s="136">
        <v>468178.33600000001</v>
      </c>
      <c r="O17" s="136">
        <v>23400</v>
      </c>
      <c r="P17" s="137"/>
      <c r="Q17" s="136">
        <v>491600</v>
      </c>
      <c r="R17" s="136"/>
      <c r="S17" s="136">
        <v>468200</v>
      </c>
      <c r="T17" s="136">
        <v>23400</v>
      </c>
      <c r="U17" s="136"/>
      <c r="V17" s="134">
        <f t="shared" ref="V17:V20" si="6">SUM(W17:Z17)</f>
        <v>61600</v>
      </c>
      <c r="W17" s="134"/>
      <c r="X17" s="134">
        <v>61600</v>
      </c>
      <c r="Y17" s="134"/>
      <c r="Z17" s="134"/>
      <c r="AA17" s="134">
        <f t="shared" ref="AA17:AA20" si="7">SUM(AB17:AE17)</f>
        <v>61578.336000000003</v>
      </c>
      <c r="AB17" s="134"/>
      <c r="AC17" s="134">
        <v>61578.336000000003</v>
      </c>
      <c r="AD17" s="134"/>
      <c r="AE17" s="134"/>
      <c r="AF17" s="130">
        <f t="shared" si="1"/>
        <v>99.964831168831168</v>
      </c>
      <c r="AG17" s="43"/>
      <c r="AH17" s="131">
        <f t="shared" si="5"/>
        <v>99.964831168831168</v>
      </c>
      <c r="AI17" s="43"/>
      <c r="AJ17" s="43"/>
    </row>
    <row r="18" spans="1:36" ht="51" customHeight="1" x14ac:dyDescent="0.25">
      <c r="A18" s="5">
        <v>3</v>
      </c>
      <c r="B18" s="91" t="s">
        <v>182</v>
      </c>
      <c r="C18" s="132" t="s">
        <v>293</v>
      </c>
      <c r="D18" s="67" t="s">
        <v>45</v>
      </c>
      <c r="E18" s="135">
        <v>2024</v>
      </c>
      <c r="F18" s="139" t="s">
        <v>302</v>
      </c>
      <c r="G18" s="134">
        <v>286600</v>
      </c>
      <c r="H18" s="40"/>
      <c r="I18" s="136">
        <v>273000</v>
      </c>
      <c r="J18" s="136">
        <v>13600</v>
      </c>
      <c r="K18" s="134"/>
      <c r="L18" s="40">
        <v>277895.57199999999</v>
      </c>
      <c r="M18" s="136"/>
      <c r="N18" s="136">
        <v>264295.57199999999</v>
      </c>
      <c r="O18" s="136">
        <v>13600</v>
      </c>
      <c r="P18" s="137"/>
      <c r="Q18" s="136">
        <v>286600</v>
      </c>
      <c r="R18" s="136"/>
      <c r="S18" s="136">
        <v>273000</v>
      </c>
      <c r="T18" s="136">
        <v>13600</v>
      </c>
      <c r="U18" s="136"/>
      <c r="V18" s="134">
        <f t="shared" si="6"/>
        <v>36600</v>
      </c>
      <c r="W18" s="134"/>
      <c r="X18" s="134">
        <v>36600</v>
      </c>
      <c r="Y18" s="134"/>
      <c r="Z18" s="134"/>
      <c r="AA18" s="134">
        <f t="shared" si="7"/>
        <v>27895.572</v>
      </c>
      <c r="AB18" s="134"/>
      <c r="AC18" s="134">
        <v>27895.572</v>
      </c>
      <c r="AD18" s="134"/>
      <c r="AE18" s="134"/>
      <c r="AF18" s="130">
        <f t="shared" si="1"/>
        <v>76.217409836065571</v>
      </c>
      <c r="AG18" s="43"/>
      <c r="AH18" s="131">
        <f t="shared" si="5"/>
        <v>76.217409836065571</v>
      </c>
      <c r="AI18" s="43"/>
      <c r="AJ18" s="43"/>
    </row>
    <row r="19" spans="1:36" ht="55.2" customHeight="1" x14ac:dyDescent="0.25">
      <c r="A19" s="5">
        <v>4</v>
      </c>
      <c r="B19" s="91" t="s">
        <v>199</v>
      </c>
      <c r="C19" s="132" t="s">
        <v>303</v>
      </c>
      <c r="D19" s="67" t="s">
        <v>45</v>
      </c>
      <c r="E19" s="135">
        <v>2025</v>
      </c>
      <c r="F19" s="140" t="s">
        <v>304</v>
      </c>
      <c r="G19" s="134">
        <v>40400</v>
      </c>
      <c r="H19" s="40"/>
      <c r="I19" s="136">
        <v>38600</v>
      </c>
      <c r="J19" s="136">
        <v>1800</v>
      </c>
      <c r="K19" s="134"/>
      <c r="L19" s="40">
        <v>21881.416000000001</v>
      </c>
      <c r="M19" s="134"/>
      <c r="N19" s="134">
        <v>21881.416000000001</v>
      </c>
      <c r="O19" s="136">
        <v>0</v>
      </c>
      <c r="P19" s="137"/>
      <c r="Q19" s="136">
        <v>40400</v>
      </c>
      <c r="R19" s="136"/>
      <c r="S19" s="136">
        <v>38600</v>
      </c>
      <c r="T19" s="136">
        <v>1800</v>
      </c>
      <c r="U19" s="136"/>
      <c r="V19" s="134">
        <f t="shared" si="6"/>
        <v>40400</v>
      </c>
      <c r="W19" s="134"/>
      <c r="X19" s="134">
        <v>38600</v>
      </c>
      <c r="Y19" s="134">
        <v>1800</v>
      </c>
      <c r="Z19" s="134"/>
      <c r="AA19" s="134">
        <f t="shared" si="7"/>
        <v>21881.416000000001</v>
      </c>
      <c r="AB19" s="134"/>
      <c r="AC19" s="134">
        <v>21881.416000000001</v>
      </c>
      <c r="AD19" s="134"/>
      <c r="AE19" s="134"/>
      <c r="AF19" s="130">
        <f t="shared" si="1"/>
        <v>54.161920792079208</v>
      </c>
      <c r="AG19" s="43"/>
      <c r="AH19" s="131">
        <f t="shared" si="5"/>
        <v>56.687606217616583</v>
      </c>
      <c r="AI19" s="43"/>
      <c r="AJ19" s="43"/>
    </row>
    <row r="20" spans="1:36" ht="55.2" customHeight="1" x14ac:dyDescent="0.25">
      <c r="A20" s="5">
        <v>5</v>
      </c>
      <c r="B20" s="91" t="s">
        <v>201</v>
      </c>
      <c r="C20" s="132" t="s">
        <v>305</v>
      </c>
      <c r="D20" s="67" t="s">
        <v>45</v>
      </c>
      <c r="E20" s="135">
        <v>2024</v>
      </c>
      <c r="F20" s="141" t="s">
        <v>306</v>
      </c>
      <c r="G20" s="134">
        <v>630000</v>
      </c>
      <c r="H20" s="40"/>
      <c r="I20" s="136">
        <v>598000</v>
      </c>
      <c r="J20" s="136">
        <v>32000</v>
      </c>
      <c r="K20" s="134"/>
      <c r="L20" s="142">
        <v>616383.03399999999</v>
      </c>
      <c r="M20" s="143"/>
      <c r="N20" s="143">
        <v>584383.03399999999</v>
      </c>
      <c r="O20" s="136">
        <v>32000</v>
      </c>
      <c r="P20" s="137"/>
      <c r="Q20" s="136">
        <v>630000</v>
      </c>
      <c r="R20" s="136"/>
      <c r="S20" s="136">
        <v>598000</v>
      </c>
      <c r="T20" s="136">
        <v>32000</v>
      </c>
      <c r="U20" s="136"/>
      <c r="V20" s="134">
        <f t="shared" si="6"/>
        <v>183600</v>
      </c>
      <c r="W20" s="134"/>
      <c r="X20" s="134">
        <f>16000+161000</f>
        <v>177000</v>
      </c>
      <c r="Y20" s="134">
        <v>6600</v>
      </c>
      <c r="Z20" s="134"/>
      <c r="AA20" s="134">
        <f t="shared" si="7"/>
        <v>169983.03400000001</v>
      </c>
      <c r="AB20" s="134"/>
      <c r="AC20" s="134">
        <f>163383.034</f>
        <v>163383.03400000001</v>
      </c>
      <c r="AD20" s="134">
        <f>6600</f>
        <v>6600</v>
      </c>
      <c r="AE20" s="134"/>
      <c r="AF20" s="130">
        <f t="shared" si="1"/>
        <v>92.583351851851859</v>
      </c>
      <c r="AG20" s="43"/>
      <c r="AH20" s="131">
        <f t="shared" si="5"/>
        <v>92.306798870056511</v>
      </c>
      <c r="AI20" s="43"/>
      <c r="AJ20" s="43"/>
    </row>
    <row r="21" spans="1:36" ht="27" customHeight="1" x14ac:dyDescent="0.25">
      <c r="A21" s="3" t="s">
        <v>307</v>
      </c>
      <c r="B21" s="128" t="s">
        <v>244</v>
      </c>
      <c r="C21" s="129"/>
      <c r="D21" s="67"/>
      <c r="E21" s="122"/>
      <c r="F21" s="122"/>
      <c r="G21" s="40">
        <v>37284480.114999995</v>
      </c>
      <c r="H21" s="40">
        <v>0</v>
      </c>
      <c r="I21" s="40">
        <v>17822360</v>
      </c>
      <c r="J21" s="40">
        <v>880770</v>
      </c>
      <c r="K21" s="40">
        <v>18581350.115000002</v>
      </c>
      <c r="L21" s="40">
        <v>32058110.081999999</v>
      </c>
      <c r="M21" s="40">
        <v>0</v>
      </c>
      <c r="N21" s="40">
        <v>16479962.874999998</v>
      </c>
      <c r="O21" s="40">
        <v>603029.11600000004</v>
      </c>
      <c r="P21" s="40">
        <v>14975118.091</v>
      </c>
      <c r="Q21" s="40">
        <v>34571152.378999993</v>
      </c>
      <c r="R21" s="40">
        <v>0</v>
      </c>
      <c r="S21" s="40">
        <v>17781260</v>
      </c>
      <c r="T21" s="40">
        <v>878370</v>
      </c>
      <c r="U21" s="40">
        <v>15911522.379000001</v>
      </c>
      <c r="V21" s="40">
        <f>V22+V57+V76</f>
        <v>19783043.666999999</v>
      </c>
      <c r="W21" s="40">
        <f t="shared" ref="W21:AE21" si="8">W22+W57+W76</f>
        <v>0</v>
      </c>
      <c r="X21" s="40">
        <f t="shared" si="8"/>
        <v>10585680.557</v>
      </c>
      <c r="Y21" s="40">
        <f t="shared" si="8"/>
        <v>636140.66299999994</v>
      </c>
      <c r="Z21" s="40">
        <f t="shared" si="8"/>
        <v>8561222.4470000006</v>
      </c>
      <c r="AA21" s="40">
        <f t="shared" si="8"/>
        <v>16543054.645</v>
      </c>
      <c r="AB21" s="40">
        <f t="shared" si="8"/>
        <v>0</v>
      </c>
      <c r="AC21" s="40">
        <f t="shared" si="8"/>
        <v>8683989.6739999987</v>
      </c>
      <c r="AD21" s="40">
        <f t="shared" si="8"/>
        <v>239165.39199999999</v>
      </c>
      <c r="AE21" s="40">
        <f t="shared" si="8"/>
        <v>7619899.5789999999</v>
      </c>
      <c r="AF21" s="130">
        <f t="shared" si="1"/>
        <v>83.622393618811003</v>
      </c>
      <c r="AG21" s="43"/>
      <c r="AH21" s="131">
        <f t="shared" si="5"/>
        <v>82.035251557421418</v>
      </c>
      <c r="AI21" s="43"/>
      <c r="AJ21" s="43"/>
    </row>
    <row r="22" spans="1:36" ht="27.6" customHeight="1" x14ac:dyDescent="0.25">
      <c r="A22" s="3" t="s">
        <v>308</v>
      </c>
      <c r="B22" s="128" t="s">
        <v>309</v>
      </c>
      <c r="C22" s="129"/>
      <c r="D22" s="67"/>
      <c r="E22" s="122"/>
      <c r="F22" s="122"/>
      <c r="G22" s="134">
        <v>21075740.114999998</v>
      </c>
      <c r="H22" s="134">
        <v>0</v>
      </c>
      <c r="I22" s="134">
        <v>12273460</v>
      </c>
      <c r="J22" s="134">
        <v>586930</v>
      </c>
      <c r="K22" s="134">
        <v>8215350.1150000002</v>
      </c>
      <c r="L22" s="134">
        <v>17937220.081999999</v>
      </c>
      <c r="M22" s="134">
        <v>0</v>
      </c>
      <c r="N22" s="134">
        <v>11592186.990999999</v>
      </c>
      <c r="O22" s="134">
        <v>477130</v>
      </c>
      <c r="P22" s="134">
        <v>5867903.091</v>
      </c>
      <c r="Q22" s="134">
        <v>19664697.378999997</v>
      </c>
      <c r="R22" s="134">
        <v>0</v>
      </c>
      <c r="S22" s="134">
        <v>12273460</v>
      </c>
      <c r="T22" s="134">
        <v>586930</v>
      </c>
      <c r="U22" s="134">
        <v>6804307.3790000007</v>
      </c>
      <c r="V22" s="134">
        <f>SUM(V23:V56)</f>
        <v>15264743.309</v>
      </c>
      <c r="W22" s="134">
        <f t="shared" ref="W22:AE22" si="9">SUM(W23:W56)</f>
        <v>0</v>
      </c>
      <c r="X22" s="134">
        <f t="shared" si="9"/>
        <v>8034465.9299999997</v>
      </c>
      <c r="Y22" s="134">
        <f t="shared" si="9"/>
        <v>426270</v>
      </c>
      <c r="Z22" s="134">
        <f>SUM(Z23:Z56)</f>
        <v>6804007.3790000007</v>
      </c>
      <c r="AA22" s="134">
        <f t="shared" si="9"/>
        <v>12956984.914999999</v>
      </c>
      <c r="AB22" s="134">
        <f t="shared" si="9"/>
        <v>0</v>
      </c>
      <c r="AC22" s="134">
        <f t="shared" si="9"/>
        <v>6891403.612999999</v>
      </c>
      <c r="AD22" s="134">
        <f t="shared" si="9"/>
        <v>202896.791</v>
      </c>
      <c r="AE22" s="134">
        <f t="shared" si="9"/>
        <v>5862684.5109999999</v>
      </c>
      <c r="AF22" s="130">
        <f t="shared" si="1"/>
        <v>84.881773985420637</v>
      </c>
      <c r="AG22" s="43"/>
      <c r="AH22" s="131">
        <f t="shared" si="5"/>
        <v>85.773014324052269</v>
      </c>
      <c r="AI22" s="43"/>
      <c r="AJ22" s="43"/>
    </row>
    <row r="23" spans="1:36" ht="57.6" customHeight="1" x14ac:dyDescent="0.25">
      <c r="A23" s="5">
        <v>1</v>
      </c>
      <c r="B23" s="91" t="s">
        <v>173</v>
      </c>
      <c r="C23" s="132" t="s">
        <v>293</v>
      </c>
      <c r="D23" s="67" t="s">
        <v>45</v>
      </c>
      <c r="E23" s="135"/>
      <c r="F23" s="144" t="s">
        <v>310</v>
      </c>
      <c r="G23" s="134">
        <v>955500</v>
      </c>
      <c r="H23" s="145"/>
      <c r="I23" s="146">
        <v>910000</v>
      </c>
      <c r="J23" s="146">
        <v>45500</v>
      </c>
      <c r="K23" s="40"/>
      <c r="L23" s="40">
        <v>925109</v>
      </c>
      <c r="M23" s="40"/>
      <c r="N23" s="134">
        <v>884609</v>
      </c>
      <c r="O23" s="136">
        <v>40500</v>
      </c>
      <c r="P23" s="137"/>
      <c r="Q23" s="146">
        <v>955500</v>
      </c>
      <c r="R23" s="146"/>
      <c r="S23" s="147">
        <v>910000</v>
      </c>
      <c r="T23" s="147">
        <v>45500</v>
      </c>
      <c r="U23" s="147"/>
      <c r="V23" s="134">
        <f>SUM(W23:Z23)</f>
        <v>73617.929999999993</v>
      </c>
      <c r="W23" s="134"/>
      <c r="X23" s="134">
        <v>28117.93</v>
      </c>
      <c r="Y23" s="134">
        <v>45500</v>
      </c>
      <c r="Z23" s="134"/>
      <c r="AA23" s="134">
        <f>SUM(AB23:AE23)</f>
        <v>46042.218999999997</v>
      </c>
      <c r="AB23" s="134"/>
      <c r="AC23" s="134">
        <v>8135.4279999999999</v>
      </c>
      <c r="AD23" s="134">
        <v>37906.790999999997</v>
      </c>
      <c r="AE23" s="134"/>
      <c r="AF23" s="130">
        <f t="shared" si="1"/>
        <v>62.542126625945613</v>
      </c>
      <c r="AG23" s="43"/>
      <c r="AH23" s="131">
        <f t="shared" si="5"/>
        <v>28.933239395645412</v>
      </c>
      <c r="AI23" s="43"/>
      <c r="AJ23" s="43"/>
    </row>
    <row r="24" spans="1:36" ht="57.6" customHeight="1" x14ac:dyDescent="0.25">
      <c r="A24" s="5">
        <v>2</v>
      </c>
      <c r="B24" s="91" t="s">
        <v>183</v>
      </c>
      <c r="C24" s="132" t="s">
        <v>305</v>
      </c>
      <c r="D24" s="67" t="s">
        <v>45</v>
      </c>
      <c r="E24" s="135">
        <v>2023</v>
      </c>
      <c r="F24" s="148" t="s">
        <v>311</v>
      </c>
      <c r="G24" s="134">
        <v>724500</v>
      </c>
      <c r="H24" s="142"/>
      <c r="I24" s="149">
        <v>688900</v>
      </c>
      <c r="J24" s="149">
        <v>35600</v>
      </c>
      <c r="K24" s="134"/>
      <c r="L24" s="40">
        <v>706118.44</v>
      </c>
      <c r="M24" s="149"/>
      <c r="N24" s="149">
        <v>670518.43999999994</v>
      </c>
      <c r="O24" s="136">
        <v>35600</v>
      </c>
      <c r="P24" s="137"/>
      <c r="Q24" s="149">
        <v>724500</v>
      </c>
      <c r="R24" s="149"/>
      <c r="S24" s="149">
        <v>688900</v>
      </c>
      <c r="T24" s="149">
        <v>35600</v>
      </c>
      <c r="U24" s="149"/>
      <c r="V24" s="134">
        <f t="shared" ref="V24:V56" si="10">SUM(W24:Z24)</f>
        <v>164500</v>
      </c>
      <c r="W24" s="134"/>
      <c r="X24" s="134">
        <v>164500</v>
      </c>
      <c r="Y24" s="134"/>
      <c r="Z24" s="134"/>
      <c r="AA24" s="134">
        <f t="shared" ref="AA24:AA56" si="11">SUM(AB24:AE24)</f>
        <v>146118.44</v>
      </c>
      <c r="AB24" s="134"/>
      <c r="AC24" s="134">
        <v>146118.44</v>
      </c>
      <c r="AD24" s="134"/>
      <c r="AE24" s="134"/>
      <c r="AF24" s="130">
        <f t="shared" si="1"/>
        <v>88.825799392097267</v>
      </c>
      <c r="AG24" s="43"/>
      <c r="AH24" s="131">
        <f t="shared" si="5"/>
        <v>88.825799392097267</v>
      </c>
      <c r="AI24" s="43"/>
      <c r="AJ24" s="43"/>
    </row>
    <row r="25" spans="1:36" ht="57.6" customHeight="1" x14ac:dyDescent="0.25">
      <c r="A25" s="5">
        <v>3</v>
      </c>
      <c r="B25" s="91" t="s">
        <v>185</v>
      </c>
      <c r="C25" s="132" t="s">
        <v>300</v>
      </c>
      <c r="D25" s="67" t="s">
        <v>45</v>
      </c>
      <c r="E25" s="135">
        <v>2024</v>
      </c>
      <c r="F25" s="150" t="s">
        <v>312</v>
      </c>
      <c r="G25" s="134">
        <v>71400</v>
      </c>
      <c r="H25" s="142"/>
      <c r="I25" s="146">
        <v>68000</v>
      </c>
      <c r="J25" s="146">
        <v>3400</v>
      </c>
      <c r="K25" s="134"/>
      <c r="L25" s="40">
        <v>62242.108</v>
      </c>
      <c r="M25" s="149"/>
      <c r="N25" s="149">
        <v>58842.108</v>
      </c>
      <c r="O25" s="136">
        <v>3400</v>
      </c>
      <c r="P25" s="137"/>
      <c r="Q25" s="146">
        <v>71400</v>
      </c>
      <c r="R25" s="146"/>
      <c r="S25" s="146">
        <v>68000</v>
      </c>
      <c r="T25" s="146">
        <v>3400</v>
      </c>
      <c r="U25" s="146"/>
      <c r="V25" s="134">
        <f t="shared" si="10"/>
        <v>9400</v>
      </c>
      <c r="W25" s="134"/>
      <c r="X25" s="134">
        <v>9400</v>
      </c>
      <c r="Y25" s="134"/>
      <c r="Z25" s="134"/>
      <c r="AA25" s="134">
        <f t="shared" si="11"/>
        <v>242.108</v>
      </c>
      <c r="AB25" s="134"/>
      <c r="AC25" s="134">
        <v>242.108</v>
      </c>
      <c r="AD25" s="134"/>
      <c r="AE25" s="134"/>
      <c r="AF25" s="130">
        <f t="shared" si="1"/>
        <v>2.5756170212765959</v>
      </c>
      <c r="AG25" s="43"/>
      <c r="AH25" s="131">
        <f t="shared" si="5"/>
        <v>2.5756170212765959</v>
      </c>
      <c r="AI25" s="43"/>
      <c r="AJ25" s="43"/>
    </row>
    <row r="26" spans="1:36" ht="57.6" customHeight="1" x14ac:dyDescent="0.25">
      <c r="A26" s="5">
        <v>4</v>
      </c>
      <c r="B26" s="91" t="s">
        <v>186</v>
      </c>
      <c r="C26" s="132" t="s">
        <v>313</v>
      </c>
      <c r="D26" s="67" t="s">
        <v>45</v>
      </c>
      <c r="E26" s="135">
        <v>2024</v>
      </c>
      <c r="F26" s="151" t="s">
        <v>314</v>
      </c>
      <c r="G26" s="134">
        <v>283600</v>
      </c>
      <c r="H26" s="142"/>
      <c r="I26" s="146">
        <v>268000</v>
      </c>
      <c r="J26" s="146">
        <v>15600</v>
      </c>
      <c r="K26" s="134"/>
      <c r="L26" s="40">
        <v>265087.02899999998</v>
      </c>
      <c r="M26" s="146"/>
      <c r="N26" s="146">
        <v>249487.02900000001</v>
      </c>
      <c r="O26" s="136">
        <v>15600</v>
      </c>
      <c r="P26" s="137"/>
      <c r="Q26" s="146">
        <v>283600</v>
      </c>
      <c r="R26" s="146"/>
      <c r="S26" s="146">
        <v>268000</v>
      </c>
      <c r="T26" s="146">
        <v>15600</v>
      </c>
      <c r="U26" s="146"/>
      <c r="V26" s="134">
        <f t="shared" si="10"/>
        <v>34600</v>
      </c>
      <c r="W26" s="134"/>
      <c r="X26" s="134">
        <v>34600</v>
      </c>
      <c r="Y26" s="134"/>
      <c r="Z26" s="134"/>
      <c r="AA26" s="134">
        <f t="shared" si="11"/>
        <v>16087.029</v>
      </c>
      <c r="AB26" s="134"/>
      <c r="AC26" s="134">
        <v>16087.029</v>
      </c>
      <c r="AD26" s="134"/>
      <c r="AE26" s="134"/>
      <c r="AF26" s="130">
        <f t="shared" si="1"/>
        <v>46.494303468208095</v>
      </c>
      <c r="AG26" s="43"/>
      <c r="AH26" s="131">
        <f t="shared" si="5"/>
        <v>46.494303468208095</v>
      </c>
      <c r="AI26" s="43"/>
      <c r="AJ26" s="43"/>
    </row>
    <row r="27" spans="1:36" ht="57.6" customHeight="1" x14ac:dyDescent="0.25">
      <c r="A27" s="5">
        <v>5</v>
      </c>
      <c r="B27" s="91" t="s">
        <v>187</v>
      </c>
      <c r="C27" s="132" t="s">
        <v>315</v>
      </c>
      <c r="D27" s="67" t="s">
        <v>45</v>
      </c>
      <c r="E27" s="135">
        <v>2024</v>
      </c>
      <c r="F27" s="152" t="s">
        <v>316</v>
      </c>
      <c r="G27" s="134">
        <v>514600</v>
      </c>
      <c r="H27" s="142"/>
      <c r="I27" s="134">
        <v>490100</v>
      </c>
      <c r="J27" s="134">
        <v>24500</v>
      </c>
      <c r="K27" s="134"/>
      <c r="L27" s="40">
        <v>508965.52500000002</v>
      </c>
      <c r="M27" s="146"/>
      <c r="N27" s="134">
        <v>484465.52500000002</v>
      </c>
      <c r="O27" s="136">
        <v>24500</v>
      </c>
      <c r="P27" s="134"/>
      <c r="Q27" s="134">
        <v>514600</v>
      </c>
      <c r="R27" s="134"/>
      <c r="S27" s="134">
        <v>490100</v>
      </c>
      <c r="T27" s="134">
        <v>24500</v>
      </c>
      <c r="U27" s="134"/>
      <c r="V27" s="134">
        <f t="shared" si="10"/>
        <v>114600</v>
      </c>
      <c r="W27" s="134"/>
      <c r="X27" s="134">
        <v>114600</v>
      </c>
      <c r="Y27" s="134"/>
      <c r="Z27" s="134"/>
      <c r="AA27" s="134">
        <f t="shared" si="11"/>
        <v>108965.52499999999</v>
      </c>
      <c r="AB27" s="134"/>
      <c r="AC27" s="134">
        <v>108965.52499999999</v>
      </c>
      <c r="AD27" s="134"/>
      <c r="AE27" s="134"/>
      <c r="AF27" s="130">
        <f t="shared" si="1"/>
        <v>95.083355148342051</v>
      </c>
      <c r="AG27" s="43"/>
      <c r="AH27" s="131">
        <f t="shared" si="5"/>
        <v>95.083355148342051</v>
      </c>
      <c r="AI27" s="43"/>
      <c r="AJ27" s="43"/>
    </row>
    <row r="28" spans="1:36" ht="57.6" customHeight="1" x14ac:dyDescent="0.25">
      <c r="A28" s="5">
        <v>6</v>
      </c>
      <c r="B28" s="91" t="s">
        <v>188</v>
      </c>
      <c r="C28" s="132" t="s">
        <v>300</v>
      </c>
      <c r="D28" s="67" t="s">
        <v>45</v>
      </c>
      <c r="E28" s="135">
        <v>2024</v>
      </c>
      <c r="F28" s="153" t="s">
        <v>317</v>
      </c>
      <c r="G28" s="134">
        <v>349900</v>
      </c>
      <c r="H28" s="142"/>
      <c r="I28" s="134">
        <v>333200</v>
      </c>
      <c r="J28" s="134">
        <v>16700</v>
      </c>
      <c r="K28" s="134"/>
      <c r="L28" s="40">
        <v>333265.43400000001</v>
      </c>
      <c r="M28" s="146"/>
      <c r="N28" s="146">
        <v>316565.43400000001</v>
      </c>
      <c r="O28" s="136">
        <v>16700</v>
      </c>
      <c r="P28" s="134"/>
      <c r="Q28" s="134">
        <v>349900</v>
      </c>
      <c r="R28" s="134"/>
      <c r="S28" s="134">
        <v>333200</v>
      </c>
      <c r="T28" s="134">
        <v>16700</v>
      </c>
      <c r="U28" s="134"/>
      <c r="V28" s="134">
        <f t="shared" si="10"/>
        <v>44061</v>
      </c>
      <c r="W28" s="134"/>
      <c r="X28" s="134">
        <v>27361</v>
      </c>
      <c r="Y28" s="134">
        <v>16700</v>
      </c>
      <c r="Z28" s="134"/>
      <c r="AA28" s="134">
        <f t="shared" si="11"/>
        <v>27426.434000000001</v>
      </c>
      <c r="AB28" s="134"/>
      <c r="AC28" s="134">
        <v>10726.433999999999</v>
      </c>
      <c r="AD28" s="134">
        <v>16700</v>
      </c>
      <c r="AE28" s="134"/>
      <c r="AF28" s="130">
        <f t="shared" si="1"/>
        <v>62.246508249926237</v>
      </c>
      <c r="AG28" s="43"/>
      <c r="AH28" s="131">
        <f t="shared" si="5"/>
        <v>39.203369759877191</v>
      </c>
      <c r="AI28" s="43"/>
      <c r="AJ28" s="43"/>
    </row>
    <row r="29" spans="1:36" ht="57.6" customHeight="1" x14ac:dyDescent="0.25">
      <c r="A29" s="5">
        <v>7</v>
      </c>
      <c r="B29" s="91" t="s">
        <v>189</v>
      </c>
      <c r="C29" s="132" t="s">
        <v>318</v>
      </c>
      <c r="D29" s="67" t="s">
        <v>45</v>
      </c>
      <c r="E29" s="135">
        <v>2024</v>
      </c>
      <c r="F29" s="154" t="s">
        <v>319</v>
      </c>
      <c r="G29" s="134">
        <v>165700</v>
      </c>
      <c r="H29" s="142"/>
      <c r="I29" s="134">
        <v>157200</v>
      </c>
      <c r="J29" s="134">
        <v>8500</v>
      </c>
      <c r="K29" s="134"/>
      <c r="L29" s="40">
        <v>156704.318</v>
      </c>
      <c r="M29" s="146"/>
      <c r="N29" s="134">
        <v>148204.318</v>
      </c>
      <c r="O29" s="136">
        <v>8500</v>
      </c>
      <c r="P29" s="134"/>
      <c r="Q29" s="134">
        <v>165700</v>
      </c>
      <c r="R29" s="134"/>
      <c r="S29" s="134">
        <v>157200</v>
      </c>
      <c r="T29" s="134">
        <v>8500</v>
      </c>
      <c r="U29" s="134"/>
      <c r="V29" s="134">
        <f t="shared" si="10"/>
        <v>20700</v>
      </c>
      <c r="W29" s="134"/>
      <c r="X29" s="134">
        <v>20700</v>
      </c>
      <c r="Y29" s="134"/>
      <c r="Z29" s="134"/>
      <c r="AA29" s="134">
        <f t="shared" si="11"/>
        <v>11704.317999999999</v>
      </c>
      <c r="AB29" s="134"/>
      <c r="AC29" s="134">
        <v>11704.317999999999</v>
      </c>
      <c r="AD29" s="134"/>
      <c r="AE29" s="134"/>
      <c r="AF29" s="130">
        <f t="shared" si="1"/>
        <v>56.542599033816423</v>
      </c>
      <c r="AG29" s="43"/>
      <c r="AH29" s="131">
        <f t="shared" si="5"/>
        <v>56.542599033816423</v>
      </c>
      <c r="AI29" s="43"/>
      <c r="AJ29" s="43"/>
    </row>
    <row r="30" spans="1:36" ht="57.6" customHeight="1" x14ac:dyDescent="0.25">
      <c r="A30" s="5">
        <v>8</v>
      </c>
      <c r="B30" s="91" t="s">
        <v>190</v>
      </c>
      <c r="C30" s="132" t="s">
        <v>320</v>
      </c>
      <c r="D30" s="67" t="s">
        <v>45</v>
      </c>
      <c r="E30" s="135">
        <v>2024</v>
      </c>
      <c r="F30" s="155" t="s">
        <v>321</v>
      </c>
      <c r="G30" s="134">
        <v>869600</v>
      </c>
      <c r="H30" s="142"/>
      <c r="I30" s="134">
        <v>828100</v>
      </c>
      <c r="J30" s="134">
        <v>41500</v>
      </c>
      <c r="K30" s="134"/>
      <c r="L30" s="40">
        <v>850798.61300000001</v>
      </c>
      <c r="M30" s="134"/>
      <c r="N30" s="134">
        <v>809298.61300000001</v>
      </c>
      <c r="O30" s="136">
        <v>41500</v>
      </c>
      <c r="P30" s="134"/>
      <c r="Q30" s="134">
        <v>869600</v>
      </c>
      <c r="R30" s="134"/>
      <c r="S30" s="134">
        <v>828100</v>
      </c>
      <c r="T30" s="134">
        <v>41500</v>
      </c>
      <c r="U30" s="134"/>
      <c r="V30" s="134">
        <f t="shared" si="10"/>
        <v>109667</v>
      </c>
      <c r="W30" s="134"/>
      <c r="X30" s="134">
        <v>109667</v>
      </c>
      <c r="Y30" s="134"/>
      <c r="Z30" s="134"/>
      <c r="AA30" s="134">
        <f t="shared" si="11"/>
        <v>90865.612999999998</v>
      </c>
      <c r="AB30" s="134"/>
      <c r="AC30" s="134">
        <v>90865.612999999998</v>
      </c>
      <c r="AD30" s="134"/>
      <c r="AE30" s="134"/>
      <c r="AF30" s="130">
        <f t="shared" si="1"/>
        <v>82.855930225136092</v>
      </c>
      <c r="AG30" s="43"/>
      <c r="AH30" s="131">
        <f t="shared" si="5"/>
        <v>82.855930225136092</v>
      </c>
      <c r="AI30" s="43"/>
      <c r="AJ30" s="43"/>
    </row>
    <row r="31" spans="1:36" ht="57.6" customHeight="1" x14ac:dyDescent="0.25">
      <c r="A31" s="5">
        <v>9</v>
      </c>
      <c r="B31" s="91" t="s">
        <v>191</v>
      </c>
      <c r="C31" s="132" t="s">
        <v>322</v>
      </c>
      <c r="D31" s="67" t="s">
        <v>45</v>
      </c>
      <c r="E31" s="135">
        <v>2024</v>
      </c>
      <c r="F31" s="156" t="s">
        <v>323</v>
      </c>
      <c r="G31" s="134">
        <v>299000</v>
      </c>
      <c r="H31" s="142"/>
      <c r="I31" s="134">
        <v>283000</v>
      </c>
      <c r="J31" s="134">
        <v>16000</v>
      </c>
      <c r="K31" s="134"/>
      <c r="L31" s="40">
        <v>284948.17099999997</v>
      </c>
      <c r="M31" s="134"/>
      <c r="N31" s="134">
        <v>268948.17099999997</v>
      </c>
      <c r="O31" s="136">
        <v>16000</v>
      </c>
      <c r="P31" s="134"/>
      <c r="Q31" s="134">
        <v>299000</v>
      </c>
      <c r="R31" s="134"/>
      <c r="S31" s="134">
        <v>283000</v>
      </c>
      <c r="T31" s="134">
        <v>16000</v>
      </c>
      <c r="U31" s="134"/>
      <c r="V31" s="134">
        <f t="shared" si="10"/>
        <v>69000</v>
      </c>
      <c r="W31" s="134"/>
      <c r="X31" s="134">
        <v>69000</v>
      </c>
      <c r="Y31" s="134"/>
      <c r="Z31" s="134"/>
      <c r="AA31" s="134">
        <f t="shared" si="11"/>
        <v>54948.116999999998</v>
      </c>
      <c r="AB31" s="134"/>
      <c r="AC31" s="134">
        <v>54948.116999999998</v>
      </c>
      <c r="AD31" s="134"/>
      <c r="AE31" s="134"/>
      <c r="AF31" s="130">
        <f t="shared" si="1"/>
        <v>79.634952173913049</v>
      </c>
      <c r="AG31" s="43"/>
      <c r="AH31" s="131">
        <f t="shared" si="5"/>
        <v>79.634952173913049</v>
      </c>
      <c r="AI31" s="43"/>
      <c r="AJ31" s="43"/>
    </row>
    <row r="32" spans="1:36" ht="57.6" customHeight="1" x14ac:dyDescent="0.25">
      <c r="A32" s="5">
        <v>10</v>
      </c>
      <c r="B32" s="91" t="s">
        <v>198</v>
      </c>
      <c r="C32" s="132" t="s">
        <v>324</v>
      </c>
      <c r="D32" s="67" t="s">
        <v>45</v>
      </c>
      <c r="E32" s="135">
        <v>2024</v>
      </c>
      <c r="F32" s="157" t="s">
        <v>325</v>
      </c>
      <c r="G32" s="134">
        <v>141400</v>
      </c>
      <c r="H32" s="142"/>
      <c r="I32" s="134">
        <v>134800</v>
      </c>
      <c r="J32" s="134">
        <v>6600</v>
      </c>
      <c r="K32" s="134"/>
      <c r="L32" s="40">
        <v>129798.57799999999</v>
      </c>
      <c r="M32" s="134"/>
      <c r="N32" s="134">
        <v>123198.57799999999</v>
      </c>
      <c r="O32" s="136">
        <v>6600</v>
      </c>
      <c r="P32" s="134"/>
      <c r="Q32" s="134">
        <v>141400</v>
      </c>
      <c r="R32" s="134"/>
      <c r="S32" s="134">
        <v>134800</v>
      </c>
      <c r="T32" s="134">
        <v>6600</v>
      </c>
      <c r="U32" s="134"/>
      <c r="V32" s="134">
        <f t="shared" si="10"/>
        <v>141400</v>
      </c>
      <c r="W32" s="134"/>
      <c r="X32" s="134">
        <v>134800</v>
      </c>
      <c r="Y32" s="134">
        <v>6600</v>
      </c>
      <c r="Z32" s="134"/>
      <c r="AA32" s="134">
        <f t="shared" si="11"/>
        <v>129798.57799999999</v>
      </c>
      <c r="AB32" s="134"/>
      <c r="AC32" s="134">
        <v>123198.57799999999</v>
      </c>
      <c r="AD32" s="134">
        <v>6600</v>
      </c>
      <c r="AE32" s="134"/>
      <c r="AF32" s="130">
        <f t="shared" si="1"/>
        <v>91.795316831683166</v>
      </c>
      <c r="AG32" s="43"/>
      <c r="AH32" s="131">
        <f t="shared" si="5"/>
        <v>91.39360385756676</v>
      </c>
      <c r="AI32" s="43"/>
      <c r="AJ32" s="43"/>
    </row>
    <row r="33" spans="1:36" ht="57.6" customHeight="1" x14ac:dyDescent="0.25">
      <c r="A33" s="5">
        <v>11</v>
      </c>
      <c r="B33" s="91" t="s">
        <v>200</v>
      </c>
      <c r="C33" s="132" t="s">
        <v>324</v>
      </c>
      <c r="D33" s="67" t="s">
        <v>45</v>
      </c>
      <c r="E33" s="135">
        <v>2024</v>
      </c>
      <c r="F33" s="158" t="s">
        <v>326</v>
      </c>
      <c r="G33" s="134">
        <v>237400</v>
      </c>
      <c r="H33" s="142"/>
      <c r="I33" s="134">
        <v>226200</v>
      </c>
      <c r="J33" s="134">
        <v>11200</v>
      </c>
      <c r="K33" s="134"/>
      <c r="L33" s="40">
        <v>222185.29300000001</v>
      </c>
      <c r="M33" s="134"/>
      <c r="N33" s="134">
        <v>222185.29300000001</v>
      </c>
      <c r="O33" s="136"/>
      <c r="P33" s="134"/>
      <c r="Q33" s="134">
        <v>237400</v>
      </c>
      <c r="R33" s="134"/>
      <c r="S33" s="134">
        <v>226200</v>
      </c>
      <c r="T33" s="134">
        <v>11200</v>
      </c>
      <c r="U33" s="134"/>
      <c r="V33" s="134">
        <f t="shared" si="10"/>
        <v>41400</v>
      </c>
      <c r="W33" s="134"/>
      <c r="X33" s="134">
        <v>30200</v>
      </c>
      <c r="Y33" s="134">
        <v>11200</v>
      </c>
      <c r="Z33" s="134"/>
      <c r="AA33" s="134">
        <f t="shared" si="11"/>
        <v>26185.293000000001</v>
      </c>
      <c r="AB33" s="134"/>
      <c r="AC33" s="134">
        <v>26185.293000000001</v>
      </c>
      <c r="AD33" s="134"/>
      <c r="AE33" s="134"/>
      <c r="AF33" s="130">
        <f t="shared" si="1"/>
        <v>63.249500000000005</v>
      </c>
      <c r="AG33" s="43"/>
      <c r="AH33" s="131">
        <f t="shared" si="5"/>
        <v>86.706268211920531</v>
      </c>
      <c r="AI33" s="43"/>
      <c r="AJ33" s="43"/>
    </row>
    <row r="34" spans="1:36" ht="57.6" customHeight="1" x14ac:dyDescent="0.25">
      <c r="A34" s="5">
        <v>12</v>
      </c>
      <c r="B34" s="91" t="s">
        <v>203</v>
      </c>
      <c r="C34" s="159" t="s">
        <v>327</v>
      </c>
      <c r="D34" s="67" t="s">
        <v>45</v>
      </c>
      <c r="E34" s="122" t="s">
        <v>328</v>
      </c>
      <c r="F34" s="157" t="s">
        <v>329</v>
      </c>
      <c r="G34" s="134">
        <v>315000</v>
      </c>
      <c r="H34" s="142"/>
      <c r="I34" s="160">
        <v>302700</v>
      </c>
      <c r="J34" s="160">
        <v>12300</v>
      </c>
      <c r="K34" s="134"/>
      <c r="L34" s="40">
        <v>258900</v>
      </c>
      <c r="M34" s="134"/>
      <c r="N34" s="134">
        <v>258900</v>
      </c>
      <c r="O34" s="134"/>
      <c r="P34" s="134"/>
      <c r="Q34" s="160">
        <v>315000</v>
      </c>
      <c r="R34" s="161"/>
      <c r="S34" s="162">
        <v>302700</v>
      </c>
      <c r="T34" s="162">
        <v>12300</v>
      </c>
      <c r="U34" s="163"/>
      <c r="V34" s="134">
        <f t="shared" si="10"/>
        <v>315000</v>
      </c>
      <c r="W34" s="134"/>
      <c r="X34" s="134">
        <v>302700</v>
      </c>
      <c r="Y34" s="134">
        <v>12300</v>
      </c>
      <c r="Z34" s="134"/>
      <c r="AA34" s="134">
        <f t="shared" si="11"/>
        <v>258900</v>
      </c>
      <c r="AB34" s="134"/>
      <c r="AC34" s="134">
        <v>258900</v>
      </c>
      <c r="AD34" s="134"/>
      <c r="AE34" s="134"/>
      <c r="AF34" s="130">
        <f t="shared" si="1"/>
        <v>82.19047619047619</v>
      </c>
      <c r="AG34" s="43"/>
      <c r="AH34" s="131">
        <f t="shared" si="5"/>
        <v>85.530227948463818</v>
      </c>
      <c r="AI34" s="43"/>
      <c r="AJ34" s="43"/>
    </row>
    <row r="35" spans="1:36" ht="57.6" customHeight="1" x14ac:dyDescent="0.25">
      <c r="A35" s="5">
        <v>13</v>
      </c>
      <c r="B35" s="91" t="s">
        <v>204</v>
      </c>
      <c r="C35" s="159" t="s">
        <v>327</v>
      </c>
      <c r="D35" s="67" t="s">
        <v>45</v>
      </c>
      <c r="E35" s="122" t="s">
        <v>328</v>
      </c>
      <c r="F35" s="157" t="s">
        <v>330</v>
      </c>
      <c r="G35" s="134">
        <v>480000</v>
      </c>
      <c r="H35" s="142"/>
      <c r="I35" s="160">
        <v>461300</v>
      </c>
      <c r="J35" s="160">
        <v>18700</v>
      </c>
      <c r="K35" s="134"/>
      <c r="L35" s="40">
        <v>413600</v>
      </c>
      <c r="M35" s="134"/>
      <c r="N35" s="134">
        <v>413600</v>
      </c>
      <c r="O35" s="134"/>
      <c r="P35" s="134"/>
      <c r="Q35" s="160">
        <v>480000</v>
      </c>
      <c r="R35" s="161"/>
      <c r="S35" s="162">
        <v>461300</v>
      </c>
      <c r="T35" s="162">
        <v>18700</v>
      </c>
      <c r="U35" s="163"/>
      <c r="V35" s="134">
        <f t="shared" si="10"/>
        <v>480000</v>
      </c>
      <c r="W35" s="134"/>
      <c r="X35" s="134">
        <v>461300</v>
      </c>
      <c r="Y35" s="134">
        <v>18700</v>
      </c>
      <c r="Z35" s="134"/>
      <c r="AA35" s="134">
        <f t="shared" si="11"/>
        <v>413600</v>
      </c>
      <c r="AB35" s="134"/>
      <c r="AC35" s="134">
        <v>413600</v>
      </c>
      <c r="AD35" s="134"/>
      <c r="AE35" s="134"/>
      <c r="AF35" s="130">
        <f t="shared" si="1"/>
        <v>86.166666666666671</v>
      </c>
      <c r="AG35" s="43"/>
      <c r="AH35" s="131">
        <f t="shared" si="5"/>
        <v>89.659657489703022</v>
      </c>
      <c r="AI35" s="43"/>
      <c r="AJ35" s="43"/>
    </row>
    <row r="36" spans="1:36" ht="57.6" customHeight="1" x14ac:dyDescent="0.25">
      <c r="A36" s="5">
        <v>14</v>
      </c>
      <c r="B36" s="164" t="s">
        <v>206</v>
      </c>
      <c r="C36" s="129" t="s">
        <v>331</v>
      </c>
      <c r="D36" s="67" t="s">
        <v>45</v>
      </c>
      <c r="E36" s="122" t="s">
        <v>332</v>
      </c>
      <c r="F36" s="165" t="s">
        <v>333</v>
      </c>
      <c r="G36" s="134">
        <v>8000000</v>
      </c>
      <c r="H36" s="145">
        <v>0</v>
      </c>
      <c r="I36" s="145"/>
      <c r="J36" s="166">
        <v>0</v>
      </c>
      <c r="K36" s="166">
        <v>8000000</v>
      </c>
      <c r="L36" s="166">
        <v>5653000</v>
      </c>
      <c r="M36" s="166"/>
      <c r="N36" s="166"/>
      <c r="O36" s="166">
        <v>0</v>
      </c>
      <c r="P36" s="166">
        <v>5653000</v>
      </c>
      <c r="Q36" s="166">
        <v>6589000</v>
      </c>
      <c r="R36" s="166"/>
      <c r="S36" s="145"/>
      <c r="T36" s="145">
        <v>0</v>
      </c>
      <c r="U36" s="166">
        <v>6589000</v>
      </c>
      <c r="V36" s="134">
        <f t="shared" si="10"/>
        <v>6588700</v>
      </c>
      <c r="W36" s="134"/>
      <c r="X36" s="134"/>
      <c r="Y36" s="134"/>
      <c r="Z36" s="134">
        <f>2588700+4000000</f>
        <v>6588700</v>
      </c>
      <c r="AA36" s="134">
        <f t="shared" si="11"/>
        <v>5653258.6840000004</v>
      </c>
      <c r="AB36" s="134"/>
      <c r="AC36" s="134"/>
      <c r="AD36" s="134"/>
      <c r="AE36" s="134">
        <f>2396639.184+3256619.5</f>
        <v>5653258.6840000004</v>
      </c>
      <c r="AF36" s="130">
        <f t="shared" si="1"/>
        <v>85.802338610044472</v>
      </c>
      <c r="AG36" s="43"/>
      <c r="AH36" s="131"/>
      <c r="AI36" s="43"/>
      <c r="AJ36" s="43"/>
    </row>
    <row r="37" spans="1:36" ht="57.6" customHeight="1" x14ac:dyDescent="0.25">
      <c r="A37" s="5">
        <v>15</v>
      </c>
      <c r="B37" s="164" t="s">
        <v>207</v>
      </c>
      <c r="C37" s="129" t="s">
        <v>313</v>
      </c>
      <c r="D37" s="67" t="s">
        <v>45</v>
      </c>
      <c r="E37" s="67">
        <v>2025</v>
      </c>
      <c r="F37" s="165" t="s">
        <v>334</v>
      </c>
      <c r="G37" s="134">
        <v>59540</v>
      </c>
      <c r="H37" s="142"/>
      <c r="I37" s="134">
        <v>56750</v>
      </c>
      <c r="J37" s="134">
        <v>2790</v>
      </c>
      <c r="K37" s="134"/>
      <c r="L37" s="40">
        <v>54287.591999999997</v>
      </c>
      <c r="M37" s="134"/>
      <c r="N37" s="134">
        <v>51497.591999999997</v>
      </c>
      <c r="O37" s="134">
        <v>2790</v>
      </c>
      <c r="P37" s="134"/>
      <c r="Q37" s="134">
        <v>59540</v>
      </c>
      <c r="R37" s="134"/>
      <c r="S37" s="134">
        <v>56750</v>
      </c>
      <c r="T37" s="134">
        <v>2790</v>
      </c>
      <c r="U37" s="134"/>
      <c r="V37" s="134">
        <f t="shared" si="10"/>
        <v>59540</v>
      </c>
      <c r="W37" s="134"/>
      <c r="X37" s="134">
        <v>56750</v>
      </c>
      <c r="Y37" s="134">
        <v>2790</v>
      </c>
      <c r="Z37" s="134"/>
      <c r="AA37" s="134">
        <f t="shared" si="11"/>
        <v>52618</v>
      </c>
      <c r="AB37" s="134"/>
      <c r="AC37" s="134">
        <v>49828</v>
      </c>
      <c r="AD37" s="134">
        <v>2790</v>
      </c>
      <c r="AE37" s="134"/>
      <c r="AF37" s="130">
        <f t="shared" si="1"/>
        <v>88.374202216996977</v>
      </c>
      <c r="AG37" s="43"/>
      <c r="AH37" s="131">
        <f t="shared" ref="AH37:AH50" si="12">AC37/X37*100</f>
        <v>87.802643171806167</v>
      </c>
      <c r="AI37" s="43"/>
      <c r="AJ37" s="43"/>
    </row>
    <row r="38" spans="1:36" ht="57.6" customHeight="1" x14ac:dyDescent="0.25">
      <c r="A38" s="5">
        <v>16</v>
      </c>
      <c r="B38" s="164" t="s">
        <v>208</v>
      </c>
      <c r="C38" s="129" t="s">
        <v>313</v>
      </c>
      <c r="D38" s="67" t="s">
        <v>45</v>
      </c>
      <c r="E38" s="67">
        <v>2025</v>
      </c>
      <c r="F38" s="165" t="s">
        <v>335</v>
      </c>
      <c r="G38" s="134">
        <v>210000</v>
      </c>
      <c r="H38" s="142"/>
      <c r="I38" s="134">
        <v>201600</v>
      </c>
      <c r="J38" s="134">
        <v>8400</v>
      </c>
      <c r="K38" s="134"/>
      <c r="L38" s="167">
        <v>191206.552</v>
      </c>
      <c r="M38" s="134"/>
      <c r="N38" s="134">
        <v>182806.552</v>
      </c>
      <c r="O38" s="134">
        <v>8400</v>
      </c>
      <c r="P38" s="134"/>
      <c r="Q38" s="134">
        <v>210000</v>
      </c>
      <c r="R38" s="134"/>
      <c r="S38" s="134">
        <v>201600</v>
      </c>
      <c r="T38" s="134">
        <v>8400</v>
      </c>
      <c r="U38" s="134"/>
      <c r="V38" s="134">
        <f t="shared" si="10"/>
        <v>210000</v>
      </c>
      <c r="W38" s="134"/>
      <c r="X38" s="134">
        <v>201600</v>
      </c>
      <c r="Y38" s="134">
        <v>8400</v>
      </c>
      <c r="Z38" s="134"/>
      <c r="AA38" s="134">
        <f t="shared" si="11"/>
        <v>185166</v>
      </c>
      <c r="AB38" s="134"/>
      <c r="AC38" s="134">
        <v>176766</v>
      </c>
      <c r="AD38" s="134">
        <v>8400</v>
      </c>
      <c r="AE38" s="134"/>
      <c r="AF38" s="130">
        <f t="shared" si="1"/>
        <v>88.174285714285716</v>
      </c>
      <c r="AG38" s="43"/>
      <c r="AH38" s="131">
        <f t="shared" si="12"/>
        <v>87.68154761904762</v>
      </c>
      <c r="AI38" s="43"/>
      <c r="AJ38" s="43"/>
    </row>
    <row r="39" spans="1:36" ht="57.6" customHeight="1" x14ac:dyDescent="0.25">
      <c r="A39" s="5">
        <v>17</v>
      </c>
      <c r="B39" s="164" t="s">
        <v>209</v>
      </c>
      <c r="C39" s="129" t="s">
        <v>313</v>
      </c>
      <c r="D39" s="67" t="s">
        <v>45</v>
      </c>
      <c r="E39" s="67">
        <v>2025</v>
      </c>
      <c r="F39" s="168" t="s">
        <v>336</v>
      </c>
      <c r="G39" s="134">
        <v>589620</v>
      </c>
      <c r="H39" s="142"/>
      <c r="I39" s="169">
        <v>561540</v>
      </c>
      <c r="J39" s="169">
        <v>28080</v>
      </c>
      <c r="K39" s="134"/>
      <c r="L39" s="40">
        <v>536585.875</v>
      </c>
      <c r="M39" s="134"/>
      <c r="N39" s="134">
        <v>508505.875</v>
      </c>
      <c r="O39" s="134">
        <v>28080</v>
      </c>
      <c r="P39" s="134"/>
      <c r="Q39" s="169">
        <v>589620</v>
      </c>
      <c r="R39" s="169"/>
      <c r="S39" s="169">
        <v>561540</v>
      </c>
      <c r="T39" s="169">
        <v>28080</v>
      </c>
      <c r="U39" s="169"/>
      <c r="V39" s="134">
        <f t="shared" si="10"/>
        <v>589620</v>
      </c>
      <c r="W39" s="134"/>
      <c r="X39" s="134">
        <v>561540</v>
      </c>
      <c r="Y39" s="134">
        <v>28080</v>
      </c>
      <c r="Z39" s="134"/>
      <c r="AA39" s="134">
        <f t="shared" si="11"/>
        <v>520601</v>
      </c>
      <c r="AB39" s="134"/>
      <c r="AC39" s="134">
        <v>492521</v>
      </c>
      <c r="AD39" s="134">
        <v>28080</v>
      </c>
      <c r="AE39" s="134"/>
      <c r="AF39" s="130">
        <f t="shared" si="1"/>
        <v>88.294325158576711</v>
      </c>
      <c r="AG39" s="43"/>
      <c r="AH39" s="131">
        <f t="shared" si="12"/>
        <v>87.708978879509928</v>
      </c>
      <c r="AI39" s="43"/>
      <c r="AJ39" s="43"/>
    </row>
    <row r="40" spans="1:36" ht="57.6" customHeight="1" x14ac:dyDescent="0.25">
      <c r="A40" s="5">
        <v>18</v>
      </c>
      <c r="B40" s="164" t="s">
        <v>210</v>
      </c>
      <c r="C40" s="129" t="s">
        <v>305</v>
      </c>
      <c r="D40" s="67" t="s">
        <v>45</v>
      </c>
      <c r="E40" s="67" t="s">
        <v>332</v>
      </c>
      <c r="F40" s="170" t="s">
        <v>337</v>
      </c>
      <c r="G40" s="134">
        <v>330800</v>
      </c>
      <c r="H40" s="142"/>
      <c r="I40" s="146">
        <v>315000</v>
      </c>
      <c r="J40" s="146">
        <v>15800</v>
      </c>
      <c r="K40" s="134"/>
      <c r="L40" s="40">
        <v>300093.94300000003</v>
      </c>
      <c r="M40" s="143"/>
      <c r="N40" s="146">
        <v>300093.94300000003</v>
      </c>
      <c r="O40" s="134">
        <v>0</v>
      </c>
      <c r="P40" s="134"/>
      <c r="Q40" s="146">
        <v>330800</v>
      </c>
      <c r="R40" s="146"/>
      <c r="S40" s="146">
        <v>315000</v>
      </c>
      <c r="T40" s="146">
        <v>15800</v>
      </c>
      <c r="U40" s="146"/>
      <c r="V40" s="134">
        <f t="shared" si="10"/>
        <v>330800</v>
      </c>
      <c r="W40" s="134"/>
      <c r="X40" s="134">
        <v>315000</v>
      </c>
      <c r="Y40" s="134">
        <v>15800</v>
      </c>
      <c r="Z40" s="134"/>
      <c r="AA40" s="134">
        <f t="shared" si="11"/>
        <v>270000</v>
      </c>
      <c r="AB40" s="134"/>
      <c r="AC40" s="134">
        <v>270000</v>
      </c>
      <c r="AD40" s="134"/>
      <c r="AE40" s="134"/>
      <c r="AF40" s="130">
        <f t="shared" si="1"/>
        <v>81.620314389359123</v>
      </c>
      <c r="AG40" s="43"/>
      <c r="AH40" s="131">
        <f t="shared" si="12"/>
        <v>85.714285714285708</v>
      </c>
      <c r="AI40" s="43"/>
      <c r="AJ40" s="43"/>
    </row>
    <row r="41" spans="1:36" ht="57.6" customHeight="1" x14ac:dyDescent="0.25">
      <c r="A41" s="5">
        <v>19</v>
      </c>
      <c r="B41" s="164" t="s">
        <v>211</v>
      </c>
      <c r="C41" s="129" t="s">
        <v>305</v>
      </c>
      <c r="D41" s="67" t="s">
        <v>45</v>
      </c>
      <c r="E41" s="67" t="s">
        <v>332</v>
      </c>
      <c r="F41" s="171" t="s">
        <v>338</v>
      </c>
      <c r="G41" s="134">
        <v>522300</v>
      </c>
      <c r="H41" s="142"/>
      <c r="I41" s="146">
        <v>501800</v>
      </c>
      <c r="J41" s="146">
        <v>20500</v>
      </c>
      <c r="K41" s="134"/>
      <c r="L41" s="40">
        <v>513281.19099999999</v>
      </c>
      <c r="M41" s="143"/>
      <c r="N41" s="146">
        <v>492781.19099999999</v>
      </c>
      <c r="O41" s="134">
        <v>20500</v>
      </c>
      <c r="P41" s="134"/>
      <c r="Q41" s="146">
        <v>522300</v>
      </c>
      <c r="R41" s="146"/>
      <c r="S41" s="146">
        <v>501800</v>
      </c>
      <c r="T41" s="146">
        <v>20500</v>
      </c>
      <c r="U41" s="146"/>
      <c r="V41" s="134">
        <f t="shared" si="10"/>
        <v>522300</v>
      </c>
      <c r="W41" s="134"/>
      <c r="X41" s="134">
        <v>501890</v>
      </c>
      <c r="Y41" s="134">
        <v>20410</v>
      </c>
      <c r="Z41" s="134"/>
      <c r="AA41" s="134">
        <f t="shared" si="11"/>
        <v>461000</v>
      </c>
      <c r="AB41" s="134"/>
      <c r="AC41" s="134">
        <v>461000</v>
      </c>
      <c r="AD41" s="134"/>
      <c r="AE41" s="134"/>
      <c r="AF41" s="130">
        <f t="shared" si="1"/>
        <v>88.263450124449548</v>
      </c>
      <c r="AG41" s="43"/>
      <c r="AH41" s="131">
        <f t="shared" si="12"/>
        <v>91.852796429496507</v>
      </c>
      <c r="AI41" s="43"/>
      <c r="AJ41" s="43"/>
    </row>
    <row r="42" spans="1:36" ht="57.6" customHeight="1" x14ac:dyDescent="0.25">
      <c r="A42" s="5">
        <v>20</v>
      </c>
      <c r="B42" s="164" t="s">
        <v>212</v>
      </c>
      <c r="C42" s="129" t="s">
        <v>339</v>
      </c>
      <c r="D42" s="67" t="s">
        <v>45</v>
      </c>
      <c r="E42" s="67">
        <v>2025</v>
      </c>
      <c r="F42" s="172" t="s">
        <v>340</v>
      </c>
      <c r="G42" s="134">
        <v>742400</v>
      </c>
      <c r="H42" s="142"/>
      <c r="I42" s="146">
        <v>707000</v>
      </c>
      <c r="J42" s="146">
        <v>35400</v>
      </c>
      <c r="K42" s="134"/>
      <c r="L42" s="40">
        <v>709581.24399999995</v>
      </c>
      <c r="M42" s="143"/>
      <c r="N42" s="146">
        <v>674181.24399999995</v>
      </c>
      <c r="O42" s="134">
        <v>35400</v>
      </c>
      <c r="P42" s="134"/>
      <c r="Q42" s="146">
        <v>742400</v>
      </c>
      <c r="R42" s="146"/>
      <c r="S42" s="146">
        <v>707000</v>
      </c>
      <c r="T42" s="146">
        <v>35400</v>
      </c>
      <c r="U42" s="146"/>
      <c r="V42" s="134">
        <f t="shared" si="10"/>
        <v>742400</v>
      </c>
      <c r="W42" s="134"/>
      <c r="X42" s="134">
        <v>707000</v>
      </c>
      <c r="Y42" s="134">
        <v>35400</v>
      </c>
      <c r="Z42" s="134"/>
      <c r="AA42" s="134">
        <f t="shared" si="11"/>
        <v>651282</v>
      </c>
      <c r="AB42" s="134"/>
      <c r="AC42" s="134">
        <v>615882</v>
      </c>
      <c r="AD42" s="134">
        <v>35400</v>
      </c>
      <c r="AE42" s="134"/>
      <c r="AF42" s="130">
        <f t="shared" si="1"/>
        <v>87.7265625</v>
      </c>
      <c r="AG42" s="43"/>
      <c r="AH42" s="131">
        <f t="shared" si="12"/>
        <v>87.112022630834502</v>
      </c>
      <c r="AI42" s="43"/>
      <c r="AJ42" s="43"/>
    </row>
    <row r="43" spans="1:36" ht="57.6" customHeight="1" x14ac:dyDescent="0.25">
      <c r="A43" s="5">
        <v>21</v>
      </c>
      <c r="B43" s="164" t="s">
        <v>213</v>
      </c>
      <c r="C43" s="129" t="s">
        <v>300</v>
      </c>
      <c r="D43" s="67" t="s">
        <v>45</v>
      </c>
      <c r="E43" s="67" t="s">
        <v>332</v>
      </c>
      <c r="F43" s="173" t="s">
        <v>341</v>
      </c>
      <c r="G43" s="134">
        <v>138410</v>
      </c>
      <c r="H43" s="142"/>
      <c r="I43" s="174">
        <v>131810</v>
      </c>
      <c r="J43" s="146">
        <v>6600</v>
      </c>
      <c r="K43" s="134"/>
      <c r="L43" s="40">
        <v>135334.85700000002</v>
      </c>
      <c r="M43" s="146"/>
      <c r="N43" s="146">
        <v>128734.857</v>
      </c>
      <c r="O43" s="134">
        <v>6600</v>
      </c>
      <c r="P43" s="134"/>
      <c r="Q43" s="174">
        <v>138410</v>
      </c>
      <c r="R43" s="146"/>
      <c r="S43" s="174">
        <v>131810</v>
      </c>
      <c r="T43" s="174">
        <v>6600</v>
      </c>
      <c r="U43" s="146"/>
      <c r="V43" s="134">
        <f t="shared" si="10"/>
        <v>138410</v>
      </c>
      <c r="W43" s="134"/>
      <c r="X43" s="134">
        <v>131480</v>
      </c>
      <c r="Y43" s="134">
        <v>6930</v>
      </c>
      <c r="Z43" s="134"/>
      <c r="AA43" s="134">
        <f t="shared" si="11"/>
        <v>128000</v>
      </c>
      <c r="AB43" s="134"/>
      <c r="AC43" s="134">
        <v>128000</v>
      </c>
      <c r="AD43" s="134"/>
      <c r="AE43" s="134"/>
      <c r="AF43" s="130">
        <f t="shared" si="1"/>
        <v>92.4788671338776</v>
      </c>
      <c r="AG43" s="43"/>
      <c r="AH43" s="131">
        <f t="shared" si="12"/>
        <v>97.35320961362946</v>
      </c>
      <c r="AI43" s="43"/>
      <c r="AJ43" s="43"/>
    </row>
    <row r="44" spans="1:36" ht="57.6" customHeight="1" x14ac:dyDescent="0.25">
      <c r="A44" s="5">
        <v>22</v>
      </c>
      <c r="B44" s="164" t="s">
        <v>214</v>
      </c>
      <c r="C44" s="129" t="s">
        <v>342</v>
      </c>
      <c r="D44" s="67" t="s">
        <v>45</v>
      </c>
      <c r="E44" s="67">
        <v>2025</v>
      </c>
      <c r="F44" s="173" t="s">
        <v>343</v>
      </c>
      <c r="G44" s="134">
        <v>158000</v>
      </c>
      <c r="H44" s="134"/>
      <c r="I44" s="134">
        <v>151800</v>
      </c>
      <c r="J44" s="134">
        <v>6200</v>
      </c>
      <c r="K44" s="134"/>
      <c r="L44" s="40">
        <v>158000</v>
      </c>
      <c r="M44" s="134"/>
      <c r="N44" s="134">
        <v>151800</v>
      </c>
      <c r="O44" s="134">
        <v>6200</v>
      </c>
      <c r="P44" s="134"/>
      <c r="Q44" s="134">
        <v>158000</v>
      </c>
      <c r="R44" s="134"/>
      <c r="S44" s="134">
        <v>151800</v>
      </c>
      <c r="T44" s="134">
        <v>6200</v>
      </c>
      <c r="U44" s="134"/>
      <c r="V44" s="134">
        <f t="shared" si="10"/>
        <v>158000</v>
      </c>
      <c r="W44" s="134"/>
      <c r="X44" s="134">
        <v>151800</v>
      </c>
      <c r="Y44" s="134">
        <v>6200</v>
      </c>
      <c r="Z44" s="134"/>
      <c r="AA44" s="134">
        <f t="shared" si="11"/>
        <v>134700</v>
      </c>
      <c r="AB44" s="134"/>
      <c r="AC44" s="134">
        <v>134700</v>
      </c>
      <c r="AD44" s="134"/>
      <c r="AE44" s="134"/>
      <c r="AF44" s="130">
        <f t="shared" si="1"/>
        <v>85.25316455696202</v>
      </c>
      <c r="AG44" s="43"/>
      <c r="AH44" s="131">
        <f t="shared" si="12"/>
        <v>88.735177865612641</v>
      </c>
      <c r="AI44" s="43"/>
      <c r="AJ44" s="43"/>
    </row>
    <row r="45" spans="1:36" ht="57.6" customHeight="1" x14ac:dyDescent="0.25">
      <c r="A45" s="5">
        <v>23</v>
      </c>
      <c r="B45" s="164" t="s">
        <v>215</v>
      </c>
      <c r="C45" s="129" t="s">
        <v>344</v>
      </c>
      <c r="D45" s="67" t="s">
        <v>45</v>
      </c>
      <c r="E45" s="67">
        <v>2025</v>
      </c>
      <c r="F45" s="173" t="s">
        <v>345</v>
      </c>
      <c r="G45" s="134">
        <v>295000</v>
      </c>
      <c r="H45" s="145"/>
      <c r="I45" s="134">
        <v>283300</v>
      </c>
      <c r="J45" s="134">
        <v>11700</v>
      </c>
      <c r="K45" s="134"/>
      <c r="L45" s="40">
        <v>282199.85700000002</v>
      </c>
      <c r="M45" s="134"/>
      <c r="N45" s="134">
        <v>270499.85700000002</v>
      </c>
      <c r="O45" s="134">
        <v>11700</v>
      </c>
      <c r="P45" s="134"/>
      <c r="Q45" s="134">
        <v>295000</v>
      </c>
      <c r="R45" s="134"/>
      <c r="S45" s="134">
        <v>283300</v>
      </c>
      <c r="T45" s="134">
        <v>11700</v>
      </c>
      <c r="U45" s="134"/>
      <c r="V45" s="134">
        <f t="shared" si="10"/>
        <v>295000</v>
      </c>
      <c r="W45" s="134"/>
      <c r="X45" s="134">
        <v>283300</v>
      </c>
      <c r="Y45" s="134">
        <v>11700</v>
      </c>
      <c r="Z45" s="134"/>
      <c r="AA45" s="134">
        <f t="shared" si="11"/>
        <v>252900</v>
      </c>
      <c r="AB45" s="134"/>
      <c r="AC45" s="134">
        <v>252900</v>
      </c>
      <c r="AD45" s="134"/>
      <c r="AE45" s="134"/>
      <c r="AF45" s="130">
        <f t="shared" si="1"/>
        <v>85.728813559322035</v>
      </c>
      <c r="AG45" s="43"/>
      <c r="AH45" s="131">
        <f t="shared" si="12"/>
        <v>89.269325803035642</v>
      </c>
      <c r="AI45" s="43"/>
      <c r="AJ45" s="43"/>
    </row>
    <row r="46" spans="1:36" ht="57.6" customHeight="1" x14ac:dyDescent="0.25">
      <c r="A46" s="5">
        <v>24</v>
      </c>
      <c r="B46" s="164" t="s">
        <v>217</v>
      </c>
      <c r="C46" s="129" t="s">
        <v>346</v>
      </c>
      <c r="D46" s="67" t="s">
        <v>45</v>
      </c>
      <c r="E46" s="67">
        <v>2025</v>
      </c>
      <c r="F46" s="173" t="s">
        <v>347</v>
      </c>
      <c r="G46" s="134">
        <v>341970</v>
      </c>
      <c r="H46" s="146"/>
      <c r="I46" s="146">
        <v>325620</v>
      </c>
      <c r="J46" s="146">
        <v>16350</v>
      </c>
      <c r="K46" s="134"/>
      <c r="L46" s="40">
        <v>341970</v>
      </c>
      <c r="M46" s="146"/>
      <c r="N46" s="146">
        <v>325620</v>
      </c>
      <c r="O46" s="134">
        <v>16350</v>
      </c>
      <c r="P46" s="134"/>
      <c r="Q46" s="146">
        <v>341970</v>
      </c>
      <c r="R46" s="146"/>
      <c r="S46" s="146">
        <v>325620</v>
      </c>
      <c r="T46" s="146">
        <v>16350</v>
      </c>
      <c r="U46" s="146"/>
      <c r="V46" s="134">
        <f t="shared" si="10"/>
        <v>341970</v>
      </c>
      <c r="W46" s="134"/>
      <c r="X46" s="134">
        <v>325620</v>
      </c>
      <c r="Y46" s="134">
        <v>16350</v>
      </c>
      <c r="Z46" s="134"/>
      <c r="AA46" s="134">
        <f t="shared" si="11"/>
        <v>289800</v>
      </c>
      <c r="AB46" s="134"/>
      <c r="AC46" s="134">
        <v>289800</v>
      </c>
      <c r="AD46" s="134"/>
      <c r="AE46" s="134"/>
      <c r="AF46" s="130">
        <f t="shared" si="1"/>
        <v>84.744275813667869</v>
      </c>
      <c r="AG46" s="43"/>
      <c r="AH46" s="131">
        <f t="shared" si="12"/>
        <v>88.99944720840243</v>
      </c>
      <c r="AI46" s="43"/>
      <c r="AJ46" s="43"/>
    </row>
    <row r="47" spans="1:36" ht="57.6" customHeight="1" x14ac:dyDescent="0.25">
      <c r="A47" s="5">
        <v>25</v>
      </c>
      <c r="B47" s="164" t="s">
        <v>218</v>
      </c>
      <c r="C47" s="129" t="s">
        <v>346</v>
      </c>
      <c r="D47" s="67" t="s">
        <v>45</v>
      </c>
      <c r="E47" s="67">
        <v>2025</v>
      </c>
      <c r="F47" s="173" t="s">
        <v>348</v>
      </c>
      <c r="G47" s="134">
        <v>299900</v>
      </c>
      <c r="H47" s="142"/>
      <c r="I47" s="146">
        <v>285200</v>
      </c>
      <c r="J47" s="146">
        <v>14700</v>
      </c>
      <c r="K47" s="134"/>
      <c r="L47" s="146">
        <v>283150.09499999997</v>
      </c>
      <c r="M47" s="146" t="s">
        <v>349</v>
      </c>
      <c r="N47" s="146">
        <v>283150.09499999997</v>
      </c>
      <c r="O47" s="134">
        <v>0</v>
      </c>
      <c r="P47" s="134"/>
      <c r="Q47" s="146">
        <v>299900</v>
      </c>
      <c r="R47" s="146"/>
      <c r="S47" s="146">
        <v>285200</v>
      </c>
      <c r="T47" s="146">
        <v>14700</v>
      </c>
      <c r="U47" s="146"/>
      <c r="V47" s="134">
        <f t="shared" si="10"/>
        <v>299900</v>
      </c>
      <c r="W47" s="134"/>
      <c r="X47" s="134">
        <v>285200</v>
      </c>
      <c r="Y47" s="134">
        <v>14700</v>
      </c>
      <c r="Z47" s="134"/>
      <c r="AA47" s="134">
        <f t="shared" si="11"/>
        <v>252900</v>
      </c>
      <c r="AB47" s="134"/>
      <c r="AC47" s="134">
        <v>252900</v>
      </c>
      <c r="AD47" s="134"/>
      <c r="AE47" s="134"/>
      <c r="AF47" s="130">
        <f t="shared" si="1"/>
        <v>84.328109369789928</v>
      </c>
      <c r="AG47" s="43"/>
      <c r="AH47" s="131">
        <f t="shared" si="12"/>
        <v>88.674614305750353</v>
      </c>
      <c r="AI47" s="43"/>
      <c r="AJ47" s="43"/>
    </row>
    <row r="48" spans="1:36" ht="57.6" customHeight="1" x14ac:dyDescent="0.25">
      <c r="A48" s="5">
        <v>26</v>
      </c>
      <c r="B48" s="164" t="s">
        <v>221</v>
      </c>
      <c r="C48" s="129" t="s">
        <v>300</v>
      </c>
      <c r="D48" s="67" t="s">
        <v>45</v>
      </c>
      <c r="E48" s="67" t="s">
        <v>332</v>
      </c>
      <c r="F48" s="173" t="s">
        <v>350</v>
      </c>
      <c r="G48" s="134">
        <v>257300</v>
      </c>
      <c r="H48" s="142"/>
      <c r="I48" s="175">
        <v>245000</v>
      </c>
      <c r="J48" s="146">
        <v>12300</v>
      </c>
      <c r="K48" s="134"/>
      <c r="L48" s="40">
        <v>251647.58799999999</v>
      </c>
      <c r="M48" s="146"/>
      <c r="N48" s="146">
        <v>239347.58799999999</v>
      </c>
      <c r="O48" s="134">
        <v>12300</v>
      </c>
      <c r="P48" s="134"/>
      <c r="Q48" s="175">
        <v>257300</v>
      </c>
      <c r="R48" s="146"/>
      <c r="S48" s="175">
        <v>245000</v>
      </c>
      <c r="T48" s="175">
        <v>12300</v>
      </c>
      <c r="U48" s="146"/>
      <c r="V48" s="134">
        <f t="shared" si="10"/>
        <v>257300</v>
      </c>
      <c r="W48" s="134"/>
      <c r="X48" s="134">
        <v>245000</v>
      </c>
      <c r="Y48" s="134">
        <v>12300</v>
      </c>
      <c r="Z48" s="134"/>
      <c r="AA48" s="134">
        <f t="shared" si="11"/>
        <v>225000</v>
      </c>
      <c r="AB48" s="134"/>
      <c r="AC48" s="134">
        <v>225000</v>
      </c>
      <c r="AD48" s="134"/>
      <c r="AE48" s="134"/>
      <c r="AF48" s="130">
        <f t="shared" si="1"/>
        <v>87.446560435289541</v>
      </c>
      <c r="AG48" s="43"/>
      <c r="AH48" s="131">
        <f t="shared" si="12"/>
        <v>91.83673469387756</v>
      </c>
      <c r="AI48" s="43"/>
      <c r="AJ48" s="43"/>
    </row>
    <row r="49" spans="1:36" ht="57.6" customHeight="1" x14ac:dyDescent="0.25">
      <c r="A49" s="5">
        <v>27</v>
      </c>
      <c r="B49" s="164" t="s">
        <v>222</v>
      </c>
      <c r="C49" s="129" t="s">
        <v>318</v>
      </c>
      <c r="D49" s="67" t="s">
        <v>45</v>
      </c>
      <c r="E49" s="67" t="s">
        <v>332</v>
      </c>
      <c r="F49" s="173" t="s">
        <v>351</v>
      </c>
      <c r="G49" s="134">
        <v>43950</v>
      </c>
      <c r="H49" s="142"/>
      <c r="I49" s="174">
        <v>41860</v>
      </c>
      <c r="J49" s="174">
        <v>2090</v>
      </c>
      <c r="K49" s="134"/>
      <c r="L49" s="40">
        <v>42847.281000000003</v>
      </c>
      <c r="M49" s="146"/>
      <c r="N49" s="174">
        <v>40757.281000000003</v>
      </c>
      <c r="O49" s="134">
        <v>2090</v>
      </c>
      <c r="P49" s="134"/>
      <c r="Q49" s="174">
        <v>43950</v>
      </c>
      <c r="R49" s="174"/>
      <c r="S49" s="174">
        <v>41860</v>
      </c>
      <c r="T49" s="174">
        <v>2090</v>
      </c>
      <c r="U49" s="174"/>
      <c r="V49" s="134">
        <f t="shared" si="10"/>
        <v>43950</v>
      </c>
      <c r="W49" s="134"/>
      <c r="X49" s="134">
        <v>41860</v>
      </c>
      <c r="Y49" s="134">
        <v>2090</v>
      </c>
      <c r="Z49" s="134"/>
      <c r="AA49" s="134">
        <f t="shared" si="11"/>
        <v>38500</v>
      </c>
      <c r="AB49" s="134"/>
      <c r="AC49" s="134">
        <v>38500</v>
      </c>
      <c r="AD49" s="134"/>
      <c r="AE49" s="134"/>
      <c r="AF49" s="130">
        <f t="shared" si="1"/>
        <v>87.599544937428902</v>
      </c>
      <c r="AG49" s="43"/>
      <c r="AH49" s="131">
        <f t="shared" si="12"/>
        <v>91.973244147157203</v>
      </c>
      <c r="AI49" s="43"/>
      <c r="AJ49" s="43"/>
    </row>
    <row r="50" spans="1:36" ht="57.6" customHeight="1" x14ac:dyDescent="0.25">
      <c r="A50" s="5">
        <v>28</v>
      </c>
      <c r="B50" s="164" t="s">
        <v>225</v>
      </c>
      <c r="C50" s="129" t="s">
        <v>305</v>
      </c>
      <c r="D50" s="67" t="s">
        <v>45</v>
      </c>
      <c r="E50" s="67">
        <v>2025</v>
      </c>
      <c r="F50" s="173" t="s">
        <v>352</v>
      </c>
      <c r="G50" s="134">
        <v>1441700</v>
      </c>
      <c r="H50" s="134"/>
      <c r="I50" s="134">
        <v>1374680</v>
      </c>
      <c r="J50" s="134">
        <v>67020</v>
      </c>
      <c r="K50" s="134"/>
      <c r="L50" s="40">
        <v>1403458.6769999999</v>
      </c>
      <c r="M50" s="134"/>
      <c r="N50" s="134">
        <v>1336438.6769999999</v>
      </c>
      <c r="O50" s="134">
        <v>67020</v>
      </c>
      <c r="P50" s="134"/>
      <c r="Q50" s="134">
        <v>1441700</v>
      </c>
      <c r="R50" s="134"/>
      <c r="S50" s="134">
        <v>1374680</v>
      </c>
      <c r="T50" s="134">
        <v>67020</v>
      </c>
      <c r="U50" s="134"/>
      <c r="V50" s="134">
        <f t="shared" si="10"/>
        <v>1441700</v>
      </c>
      <c r="W50" s="134"/>
      <c r="X50" s="134">
        <v>1374680</v>
      </c>
      <c r="Y50" s="134">
        <v>67020</v>
      </c>
      <c r="Z50" s="134"/>
      <c r="AA50" s="134">
        <f t="shared" si="11"/>
        <v>1269000</v>
      </c>
      <c r="AB50" s="134"/>
      <c r="AC50" s="134">
        <v>1201980</v>
      </c>
      <c r="AD50" s="134">
        <v>67020</v>
      </c>
      <c r="AE50" s="134"/>
      <c r="AF50" s="130">
        <f t="shared" si="1"/>
        <v>88.0210862176597</v>
      </c>
      <c r="AG50" s="43"/>
      <c r="AH50" s="131">
        <f t="shared" si="12"/>
        <v>87.437076265021673</v>
      </c>
      <c r="AI50" s="43"/>
      <c r="AJ50" s="43"/>
    </row>
    <row r="51" spans="1:36" ht="57.6" customHeight="1" x14ac:dyDescent="0.25">
      <c r="A51" s="5">
        <v>29</v>
      </c>
      <c r="B51" s="176" t="s">
        <v>227</v>
      </c>
      <c r="C51" s="129" t="s">
        <v>327</v>
      </c>
      <c r="D51" s="67" t="s">
        <v>45</v>
      </c>
      <c r="E51" s="67">
        <v>2025</v>
      </c>
      <c r="F51" s="173" t="s">
        <v>353</v>
      </c>
      <c r="G51" s="134">
        <v>137998</v>
      </c>
      <c r="H51" s="142"/>
      <c r="I51" s="142"/>
      <c r="J51" s="134">
        <v>0</v>
      </c>
      <c r="K51" s="134">
        <v>137998</v>
      </c>
      <c r="L51" s="40">
        <v>137955.264</v>
      </c>
      <c r="M51" s="40"/>
      <c r="N51" s="134"/>
      <c r="O51" s="134">
        <v>0</v>
      </c>
      <c r="P51" s="40">
        <v>137955.264</v>
      </c>
      <c r="Q51" s="40">
        <v>137955.264</v>
      </c>
      <c r="R51" s="134"/>
      <c r="S51" s="40"/>
      <c r="T51" s="40">
        <v>0</v>
      </c>
      <c r="U51" s="134">
        <v>137955.264</v>
      </c>
      <c r="V51" s="134">
        <f t="shared" si="10"/>
        <v>137955.264</v>
      </c>
      <c r="W51" s="134"/>
      <c r="X51" s="134">
        <v>0</v>
      </c>
      <c r="Y51" s="134"/>
      <c r="Z51" s="134">
        <v>137955.264</v>
      </c>
      <c r="AA51" s="134">
        <f t="shared" si="11"/>
        <v>132478</v>
      </c>
      <c r="AB51" s="134"/>
      <c r="AC51" s="134"/>
      <c r="AD51" s="134"/>
      <c r="AE51" s="134">
        <v>132478</v>
      </c>
      <c r="AF51" s="130">
        <f t="shared" si="1"/>
        <v>96.029681042109431</v>
      </c>
      <c r="AG51" s="43"/>
      <c r="AH51" s="131"/>
      <c r="AI51" s="43"/>
      <c r="AJ51" s="43"/>
    </row>
    <row r="52" spans="1:36" ht="57.6" customHeight="1" x14ac:dyDescent="0.25">
      <c r="A52" s="5">
        <v>30</v>
      </c>
      <c r="B52" s="80" t="s">
        <v>228</v>
      </c>
      <c r="C52" s="129" t="s">
        <v>320</v>
      </c>
      <c r="D52" s="67" t="s">
        <v>45</v>
      </c>
      <c r="E52" s="67" t="s">
        <v>332</v>
      </c>
      <c r="F52" s="173" t="s">
        <v>354</v>
      </c>
      <c r="G52" s="134">
        <v>1016000</v>
      </c>
      <c r="H52" s="134"/>
      <c r="I52" s="134">
        <v>981000</v>
      </c>
      <c r="J52" s="134">
        <v>35000</v>
      </c>
      <c r="K52" s="134"/>
      <c r="L52" s="40">
        <v>1016000</v>
      </c>
      <c r="M52" s="134"/>
      <c r="N52" s="134">
        <v>981000</v>
      </c>
      <c r="O52" s="134">
        <v>35000</v>
      </c>
      <c r="P52" s="134"/>
      <c r="Q52" s="134">
        <v>1016000</v>
      </c>
      <c r="R52" s="134"/>
      <c r="S52" s="134">
        <v>981000</v>
      </c>
      <c r="T52" s="134">
        <v>35000</v>
      </c>
      <c r="U52" s="134"/>
      <c r="V52" s="134">
        <f t="shared" si="10"/>
        <v>1016000</v>
      </c>
      <c r="W52" s="134"/>
      <c r="X52" s="134">
        <v>981000</v>
      </c>
      <c r="Y52" s="134">
        <v>35000</v>
      </c>
      <c r="Z52" s="134"/>
      <c r="AA52" s="134">
        <f t="shared" si="11"/>
        <v>910000</v>
      </c>
      <c r="AB52" s="134"/>
      <c r="AC52" s="134">
        <v>910000</v>
      </c>
      <c r="AD52" s="134"/>
      <c r="AE52" s="134"/>
      <c r="AF52" s="130">
        <f t="shared" si="1"/>
        <v>89.566929133858267</v>
      </c>
      <c r="AG52" s="43"/>
      <c r="AH52" s="131">
        <f>AC52/X52*100</f>
        <v>92.762487257900105</v>
      </c>
      <c r="AI52" s="43"/>
      <c r="AJ52" s="43"/>
    </row>
    <row r="53" spans="1:36" ht="57.6" customHeight="1" x14ac:dyDescent="0.25">
      <c r="A53" s="5">
        <v>31</v>
      </c>
      <c r="B53" s="80" t="s">
        <v>220</v>
      </c>
      <c r="C53" s="129" t="s">
        <v>320</v>
      </c>
      <c r="D53" s="67" t="s">
        <v>45</v>
      </c>
      <c r="E53" s="122"/>
      <c r="F53" s="173" t="s">
        <v>355</v>
      </c>
      <c r="G53" s="134">
        <v>244800</v>
      </c>
      <c r="H53" s="134"/>
      <c r="I53" s="134">
        <v>233100</v>
      </c>
      <c r="J53" s="134">
        <v>11700</v>
      </c>
      <c r="K53" s="40"/>
      <c r="L53" s="40">
        <v>0</v>
      </c>
      <c r="M53" s="40"/>
      <c r="N53" s="134">
        <v>0</v>
      </c>
      <c r="O53" s="134">
        <v>0</v>
      </c>
      <c r="P53" s="134"/>
      <c r="Q53" s="134">
        <v>244800</v>
      </c>
      <c r="R53" s="134"/>
      <c r="S53" s="134">
        <v>233100</v>
      </c>
      <c r="T53" s="134">
        <v>11700</v>
      </c>
      <c r="U53" s="134"/>
      <c r="V53" s="134">
        <f t="shared" si="10"/>
        <v>244800</v>
      </c>
      <c r="W53" s="134"/>
      <c r="X53" s="134">
        <v>233100</v>
      </c>
      <c r="Y53" s="134">
        <v>11700</v>
      </c>
      <c r="Z53" s="134"/>
      <c r="AA53" s="134">
        <f t="shared" si="11"/>
        <v>0</v>
      </c>
      <c r="AB53" s="134"/>
      <c r="AC53" s="134"/>
      <c r="AD53" s="134"/>
      <c r="AE53" s="134"/>
      <c r="AF53" s="130">
        <f t="shared" si="1"/>
        <v>0</v>
      </c>
      <c r="AG53" s="43"/>
      <c r="AH53" s="131">
        <f>AC53/X53*100</f>
        <v>0</v>
      </c>
      <c r="AI53" s="43"/>
      <c r="AJ53" s="43"/>
    </row>
    <row r="54" spans="1:36" ht="57.6" customHeight="1" x14ac:dyDescent="0.25">
      <c r="A54" s="5">
        <v>32</v>
      </c>
      <c r="B54" s="164" t="s">
        <v>226</v>
      </c>
      <c r="C54" s="129" t="s">
        <v>300</v>
      </c>
      <c r="D54" s="67" t="s">
        <v>45</v>
      </c>
      <c r="E54" s="67">
        <v>2025</v>
      </c>
      <c r="F54" s="173" t="s">
        <v>356</v>
      </c>
      <c r="G54" s="134">
        <v>77352.115000000005</v>
      </c>
      <c r="H54" s="142"/>
      <c r="I54" s="142"/>
      <c r="J54" s="146">
        <v>0</v>
      </c>
      <c r="K54" s="134">
        <v>77352.115000000005</v>
      </c>
      <c r="L54" s="40">
        <v>76947.827000000005</v>
      </c>
      <c r="M54" s="40"/>
      <c r="N54" s="146"/>
      <c r="O54" s="134">
        <v>0</v>
      </c>
      <c r="P54" s="134">
        <v>76947.827000000005</v>
      </c>
      <c r="Q54" s="134">
        <v>77352.115000000005</v>
      </c>
      <c r="R54" s="146"/>
      <c r="S54" s="134"/>
      <c r="T54" s="134">
        <v>0</v>
      </c>
      <c r="U54" s="146">
        <v>77352.115000000005</v>
      </c>
      <c r="V54" s="134">
        <f t="shared" si="10"/>
        <v>77352.115000000005</v>
      </c>
      <c r="W54" s="134"/>
      <c r="X54" s="134"/>
      <c r="Y54" s="134"/>
      <c r="Z54" s="134">
        <v>77352.115000000005</v>
      </c>
      <c r="AA54" s="134">
        <f t="shared" si="11"/>
        <v>76947.827000000005</v>
      </c>
      <c r="AB54" s="134"/>
      <c r="AC54" s="134"/>
      <c r="AD54" s="134"/>
      <c r="AE54" s="134">
        <v>76947.827000000005</v>
      </c>
      <c r="AF54" s="130">
        <f t="shared" si="1"/>
        <v>99.477340729468096</v>
      </c>
      <c r="AG54" s="43"/>
      <c r="AH54" s="131"/>
      <c r="AI54" s="43"/>
      <c r="AJ54" s="43"/>
    </row>
    <row r="55" spans="1:36" ht="57.6" customHeight="1" x14ac:dyDescent="0.25">
      <c r="A55" s="5">
        <v>33</v>
      </c>
      <c r="B55" s="164" t="s">
        <v>197</v>
      </c>
      <c r="C55" s="129" t="s">
        <v>357</v>
      </c>
      <c r="D55" s="67" t="s">
        <v>45</v>
      </c>
      <c r="E55" s="67">
        <v>2024</v>
      </c>
      <c r="F55" s="177" t="s">
        <v>358</v>
      </c>
      <c r="G55" s="134">
        <v>429800</v>
      </c>
      <c r="H55" s="142"/>
      <c r="I55" s="146">
        <v>409400</v>
      </c>
      <c r="J55" s="146">
        <v>20400</v>
      </c>
      <c r="K55" s="134"/>
      <c r="L55" s="40">
        <v>402586.50300000003</v>
      </c>
      <c r="M55" s="146"/>
      <c r="N55" s="134">
        <v>402586.50300000003</v>
      </c>
      <c r="O55" s="134">
        <v>0</v>
      </c>
      <c r="P55" s="134"/>
      <c r="Q55" s="178">
        <v>429800</v>
      </c>
      <c r="R55" s="178" t="s">
        <v>349</v>
      </c>
      <c r="S55" s="178">
        <v>409400</v>
      </c>
      <c r="T55" s="178">
        <v>20400</v>
      </c>
      <c r="U55" s="178"/>
      <c r="V55" s="134">
        <f t="shared" si="10"/>
        <v>109800</v>
      </c>
      <c r="W55" s="134"/>
      <c r="X55" s="134">
        <v>89400</v>
      </c>
      <c r="Y55" s="134">
        <v>20400</v>
      </c>
      <c r="Z55" s="134"/>
      <c r="AA55" s="134">
        <f t="shared" si="11"/>
        <v>82586.502999999997</v>
      </c>
      <c r="AB55" s="134"/>
      <c r="AC55" s="134">
        <v>82586.502999999997</v>
      </c>
      <c r="AD55" s="134"/>
      <c r="AE55" s="134"/>
      <c r="AF55" s="130">
        <f t="shared" si="1"/>
        <v>75.21539435336976</v>
      </c>
      <c r="AG55" s="43"/>
      <c r="AH55" s="131">
        <f>AC55/X55*100</f>
        <v>92.378638702460847</v>
      </c>
      <c r="AI55" s="43"/>
      <c r="AJ55" s="43"/>
    </row>
    <row r="56" spans="1:36" ht="57.6" customHeight="1" x14ac:dyDescent="0.25">
      <c r="A56" s="5">
        <v>34</v>
      </c>
      <c r="B56" s="164" t="s">
        <v>181</v>
      </c>
      <c r="C56" s="129" t="s">
        <v>300</v>
      </c>
      <c r="D56" s="67" t="s">
        <v>45</v>
      </c>
      <c r="E56" s="67">
        <v>2023</v>
      </c>
      <c r="F56" s="173" t="s">
        <v>359</v>
      </c>
      <c r="G56" s="134">
        <v>331300</v>
      </c>
      <c r="H56" s="142"/>
      <c r="I56" s="179">
        <v>315500</v>
      </c>
      <c r="J56" s="179">
        <v>15800</v>
      </c>
      <c r="K56" s="134"/>
      <c r="L56" s="40">
        <v>329363.22700000001</v>
      </c>
      <c r="M56" s="134"/>
      <c r="N56" s="179">
        <v>313563.22700000001</v>
      </c>
      <c r="O56" s="134">
        <v>15800</v>
      </c>
      <c r="P56" s="134"/>
      <c r="Q56" s="179">
        <v>331300</v>
      </c>
      <c r="R56" s="179"/>
      <c r="S56" s="179">
        <v>315500</v>
      </c>
      <c r="T56" s="179">
        <v>15800</v>
      </c>
      <c r="U56" s="179"/>
      <c r="V56" s="134">
        <f t="shared" si="10"/>
        <v>41300</v>
      </c>
      <c r="W56" s="134"/>
      <c r="X56" s="134">
        <v>41300</v>
      </c>
      <c r="Y56" s="134"/>
      <c r="Z56" s="134"/>
      <c r="AA56" s="134">
        <f t="shared" si="11"/>
        <v>39363.226999999999</v>
      </c>
      <c r="AB56" s="134"/>
      <c r="AC56" s="134">
        <v>39363.226999999999</v>
      </c>
      <c r="AD56" s="134"/>
      <c r="AE56" s="134"/>
      <c r="AF56" s="130">
        <f t="shared" si="1"/>
        <v>95.310476997578689</v>
      </c>
      <c r="AG56" s="43"/>
      <c r="AH56" s="131">
        <f>AC56/X56*100</f>
        <v>95.310476997578689</v>
      </c>
      <c r="AI56" s="43"/>
      <c r="AJ56" s="43"/>
    </row>
    <row r="57" spans="1:36" ht="27.6" customHeight="1" x14ac:dyDescent="0.25">
      <c r="A57" s="3" t="s">
        <v>360</v>
      </c>
      <c r="B57" s="128" t="s">
        <v>361</v>
      </c>
      <c r="C57" s="180"/>
      <c r="D57" s="67"/>
      <c r="E57" s="122"/>
      <c r="F57" s="122"/>
      <c r="G57" s="40">
        <v>15733740</v>
      </c>
      <c r="H57" s="40">
        <v>0</v>
      </c>
      <c r="I57" s="40">
        <v>5548900</v>
      </c>
      <c r="J57" s="40">
        <v>293840</v>
      </c>
      <c r="K57" s="40">
        <v>9891000</v>
      </c>
      <c r="L57" s="40">
        <v>14120890</v>
      </c>
      <c r="M57" s="40">
        <v>0</v>
      </c>
      <c r="N57" s="40">
        <v>4887775.8839999996</v>
      </c>
      <c r="O57" s="40">
        <v>125899.11600000001</v>
      </c>
      <c r="P57" s="40">
        <v>9107215</v>
      </c>
      <c r="Q57" s="40">
        <v>14906455</v>
      </c>
      <c r="R57" s="40">
        <v>0</v>
      </c>
      <c r="S57" s="40">
        <v>5507800</v>
      </c>
      <c r="T57" s="40">
        <v>291440</v>
      </c>
      <c r="U57" s="40">
        <v>9107215</v>
      </c>
      <c r="V57" s="40">
        <f>SUM(V58:V75)</f>
        <v>4368300.358</v>
      </c>
      <c r="W57" s="40">
        <f t="shared" ref="W57:AE57" si="13">SUM(W58:W75)</f>
        <v>0</v>
      </c>
      <c r="X57" s="40">
        <f t="shared" si="13"/>
        <v>2551214.6269999999</v>
      </c>
      <c r="Y57" s="40">
        <f t="shared" si="13"/>
        <v>209870.663</v>
      </c>
      <c r="Z57" s="40">
        <f t="shared" si="13"/>
        <v>1607215.068</v>
      </c>
      <c r="AA57" s="40">
        <f t="shared" si="13"/>
        <v>3436069.7299999995</v>
      </c>
      <c r="AB57" s="40">
        <f t="shared" si="13"/>
        <v>0</v>
      </c>
      <c r="AC57" s="40">
        <f t="shared" si="13"/>
        <v>1792586.061</v>
      </c>
      <c r="AD57" s="40">
        <f t="shared" si="13"/>
        <v>36268.601000000002</v>
      </c>
      <c r="AE57" s="40">
        <f t="shared" si="13"/>
        <v>1607215.068</v>
      </c>
      <c r="AF57" s="130">
        <f t="shared" si="1"/>
        <v>78.659191181926488</v>
      </c>
      <c r="AG57" s="35">
        <f t="shared" ref="AG57:AJ57" si="14">SUM(AG58:AG75)</f>
        <v>0</v>
      </c>
      <c r="AH57" s="131">
        <f>AC57/X57*100</f>
        <v>70.264024125164298</v>
      </c>
      <c r="AI57" s="35">
        <f t="shared" si="14"/>
        <v>0</v>
      </c>
      <c r="AJ57" s="35">
        <f t="shared" si="14"/>
        <v>0</v>
      </c>
    </row>
    <row r="58" spans="1:36" ht="55.2" customHeight="1" x14ac:dyDescent="0.25">
      <c r="A58" s="5">
        <v>1</v>
      </c>
      <c r="B58" s="181" t="s">
        <v>169</v>
      </c>
      <c r="C58" s="129" t="s">
        <v>362</v>
      </c>
      <c r="D58" s="67" t="s">
        <v>45</v>
      </c>
      <c r="E58" s="5" t="s">
        <v>363</v>
      </c>
      <c r="F58" s="173" t="s">
        <v>364</v>
      </c>
      <c r="G58" s="134">
        <v>9891000</v>
      </c>
      <c r="H58" s="145"/>
      <c r="I58" s="146"/>
      <c r="J58" s="134">
        <v>0</v>
      </c>
      <c r="K58" s="40">
        <v>9891000</v>
      </c>
      <c r="L58" s="40">
        <v>9107215</v>
      </c>
      <c r="M58" s="40"/>
      <c r="N58" s="134"/>
      <c r="O58" s="40">
        <v>0</v>
      </c>
      <c r="P58" s="40">
        <v>9107215</v>
      </c>
      <c r="Q58" s="40">
        <v>9107215</v>
      </c>
      <c r="R58" s="40"/>
      <c r="S58" s="40"/>
      <c r="T58" s="40">
        <v>0</v>
      </c>
      <c r="U58" s="40">
        <v>9107215</v>
      </c>
      <c r="V58" s="134">
        <f>SUM(W58:Z58)</f>
        <v>1607215.068</v>
      </c>
      <c r="W58" s="134"/>
      <c r="X58" s="134"/>
      <c r="Y58" s="134"/>
      <c r="Z58" s="134">
        <v>1607215.068</v>
      </c>
      <c r="AA58" s="134">
        <f>SUM(AB58:AE58)</f>
        <v>1607215.068</v>
      </c>
      <c r="AB58" s="134"/>
      <c r="AC58" s="134"/>
      <c r="AD58" s="134"/>
      <c r="AE58" s="134">
        <v>1607215.068</v>
      </c>
      <c r="AF58" s="130">
        <f t="shared" si="1"/>
        <v>100</v>
      </c>
      <c r="AG58" s="43"/>
      <c r="AH58" s="131"/>
      <c r="AI58" s="43"/>
      <c r="AJ58" s="43"/>
    </row>
    <row r="59" spans="1:36" ht="55.2" customHeight="1" x14ac:dyDescent="0.25">
      <c r="A59" s="5">
        <v>2</v>
      </c>
      <c r="B59" s="164" t="s">
        <v>193</v>
      </c>
      <c r="C59" s="132" t="s">
        <v>305</v>
      </c>
      <c r="D59" s="67" t="s">
        <v>45</v>
      </c>
      <c r="E59" s="67">
        <v>2024</v>
      </c>
      <c r="F59" s="173" t="s">
        <v>365</v>
      </c>
      <c r="G59" s="134">
        <v>343700</v>
      </c>
      <c r="H59" s="142"/>
      <c r="I59" s="178">
        <v>319200</v>
      </c>
      <c r="J59" s="178">
        <v>24500</v>
      </c>
      <c r="K59" s="134"/>
      <c r="L59" s="40">
        <v>331669.60600000003</v>
      </c>
      <c r="M59" s="178"/>
      <c r="N59" s="178">
        <v>307169.60600000003</v>
      </c>
      <c r="O59" s="134">
        <v>24500</v>
      </c>
      <c r="P59" s="40"/>
      <c r="Q59" s="178">
        <v>343700</v>
      </c>
      <c r="R59" s="178"/>
      <c r="S59" s="178">
        <v>319200</v>
      </c>
      <c r="T59" s="178">
        <v>24500</v>
      </c>
      <c r="U59" s="178"/>
      <c r="V59" s="134">
        <f t="shared" ref="V59:V75" si="15">SUM(W59:Z59)</f>
        <v>213500</v>
      </c>
      <c r="W59" s="134"/>
      <c r="X59" s="134">
        <v>213500</v>
      </c>
      <c r="Y59" s="134"/>
      <c r="Z59" s="134"/>
      <c r="AA59" s="134">
        <f t="shared" ref="AA59:AA75" si="16">SUM(AB59:AE59)</f>
        <v>30669.606</v>
      </c>
      <c r="AB59" s="134"/>
      <c r="AC59" s="134">
        <v>30669.606</v>
      </c>
      <c r="AD59" s="134"/>
      <c r="AE59" s="134"/>
      <c r="AF59" s="130">
        <f t="shared" si="1"/>
        <v>14.365155035128804</v>
      </c>
      <c r="AG59" s="43"/>
      <c r="AH59" s="131">
        <f t="shared" ref="AH59:AH65" si="17">AC59/X59*100</f>
        <v>14.365155035128804</v>
      </c>
      <c r="AI59" s="43"/>
      <c r="AJ59" s="43"/>
    </row>
    <row r="60" spans="1:36" ht="55.2" customHeight="1" x14ac:dyDescent="0.25">
      <c r="A60" s="5">
        <v>3</v>
      </c>
      <c r="B60" s="164" t="s">
        <v>177</v>
      </c>
      <c r="C60" s="132" t="s">
        <v>342</v>
      </c>
      <c r="D60" s="67" t="s">
        <v>45</v>
      </c>
      <c r="E60" s="67">
        <v>2023</v>
      </c>
      <c r="F60" s="177" t="s">
        <v>366</v>
      </c>
      <c r="G60" s="134">
        <v>315700</v>
      </c>
      <c r="H60" s="142"/>
      <c r="I60" s="178">
        <v>299500</v>
      </c>
      <c r="J60" s="178">
        <v>16200</v>
      </c>
      <c r="K60" s="134"/>
      <c r="L60" s="40">
        <v>115685.11599999999</v>
      </c>
      <c r="M60" s="134"/>
      <c r="N60" s="134">
        <v>115685.11599999999</v>
      </c>
      <c r="O60" s="134">
        <v>0</v>
      </c>
      <c r="P60" s="40"/>
      <c r="Q60" s="178">
        <v>315700</v>
      </c>
      <c r="R60" s="178"/>
      <c r="S60" s="178">
        <v>299500</v>
      </c>
      <c r="T60" s="178">
        <v>16200</v>
      </c>
      <c r="U60" s="178"/>
      <c r="V60" s="134">
        <f t="shared" si="15"/>
        <v>125100</v>
      </c>
      <c r="W60" s="134"/>
      <c r="X60" s="134">
        <v>118700</v>
      </c>
      <c r="Y60" s="134">
        <v>6400</v>
      </c>
      <c r="Z60" s="134"/>
      <c r="AA60" s="134">
        <f t="shared" si="16"/>
        <v>115685.11599999999</v>
      </c>
      <c r="AB60" s="134"/>
      <c r="AC60" s="134">
        <v>115685.11599999999</v>
      </c>
      <c r="AD60" s="134"/>
      <c r="AE60" s="134"/>
      <c r="AF60" s="130">
        <f t="shared" si="1"/>
        <v>92.474113509192648</v>
      </c>
      <c r="AG60" s="43"/>
      <c r="AH60" s="131">
        <f t="shared" si="17"/>
        <v>97.460080876158372</v>
      </c>
      <c r="AI60" s="43"/>
      <c r="AJ60" s="43"/>
    </row>
    <row r="61" spans="1:36" ht="55.2" customHeight="1" x14ac:dyDescent="0.25">
      <c r="A61" s="5">
        <v>4</v>
      </c>
      <c r="B61" s="164" t="s">
        <v>179</v>
      </c>
      <c r="C61" s="132" t="s">
        <v>342</v>
      </c>
      <c r="D61" s="67" t="s">
        <v>45</v>
      </c>
      <c r="E61" s="67">
        <v>2023</v>
      </c>
      <c r="F61" s="177" t="s">
        <v>367</v>
      </c>
      <c r="G61" s="134">
        <v>315700</v>
      </c>
      <c r="H61" s="142"/>
      <c r="I61" s="178">
        <v>299500</v>
      </c>
      <c r="J61" s="178">
        <v>16200</v>
      </c>
      <c r="K61" s="134"/>
      <c r="L61" s="40">
        <v>306285.11599999998</v>
      </c>
      <c r="M61" s="134"/>
      <c r="N61" s="134">
        <v>299500</v>
      </c>
      <c r="O61" s="134">
        <v>6785.116</v>
      </c>
      <c r="P61" s="40"/>
      <c r="Q61" s="178">
        <v>315700</v>
      </c>
      <c r="R61" s="178"/>
      <c r="S61" s="178">
        <v>299500</v>
      </c>
      <c r="T61" s="178">
        <v>16200</v>
      </c>
      <c r="U61" s="178"/>
      <c r="V61" s="134">
        <f t="shared" si="15"/>
        <v>57614.163999999997</v>
      </c>
      <c r="W61" s="134"/>
      <c r="X61" s="134">
        <v>41414.163999999997</v>
      </c>
      <c r="Y61" s="134">
        <v>16200</v>
      </c>
      <c r="Z61" s="134"/>
      <c r="AA61" s="134">
        <f t="shared" si="16"/>
        <v>48199.28</v>
      </c>
      <c r="AB61" s="134"/>
      <c r="AC61" s="134">
        <v>41414.163999999997</v>
      </c>
      <c r="AD61" s="134">
        <v>6785.116</v>
      </c>
      <c r="AE61" s="134"/>
      <c r="AF61" s="130">
        <f t="shared" si="1"/>
        <v>83.658733640567974</v>
      </c>
      <c r="AG61" s="43"/>
      <c r="AH61" s="131">
        <f t="shared" si="17"/>
        <v>100</v>
      </c>
      <c r="AI61" s="43"/>
      <c r="AJ61" s="43"/>
    </row>
    <row r="62" spans="1:36" ht="55.2" customHeight="1" x14ac:dyDescent="0.25">
      <c r="A62" s="5">
        <v>5</v>
      </c>
      <c r="B62" s="164" t="s">
        <v>192</v>
      </c>
      <c r="C62" s="132" t="s">
        <v>320</v>
      </c>
      <c r="D62" s="67" t="s">
        <v>45</v>
      </c>
      <c r="E62" s="67">
        <v>2024</v>
      </c>
      <c r="F62" s="173" t="s">
        <v>368</v>
      </c>
      <c r="G62" s="134">
        <v>106700</v>
      </c>
      <c r="H62" s="142"/>
      <c r="I62" s="146">
        <v>101600</v>
      </c>
      <c r="J62" s="146">
        <v>5100</v>
      </c>
      <c r="K62" s="134"/>
      <c r="L62" s="40">
        <v>99890.883000000002</v>
      </c>
      <c r="M62" s="146"/>
      <c r="N62" s="146">
        <v>94790.883000000002</v>
      </c>
      <c r="O62" s="134">
        <v>5100</v>
      </c>
      <c r="P62" s="40"/>
      <c r="Q62" s="146">
        <v>106700</v>
      </c>
      <c r="R62" s="146"/>
      <c r="S62" s="146">
        <v>101600</v>
      </c>
      <c r="T62" s="146">
        <v>5100</v>
      </c>
      <c r="U62" s="146"/>
      <c r="V62" s="134">
        <f t="shared" si="15"/>
        <v>12700</v>
      </c>
      <c r="W62" s="134"/>
      <c r="X62" s="134">
        <v>12700</v>
      </c>
      <c r="Y62" s="134"/>
      <c r="Z62" s="134"/>
      <c r="AA62" s="134">
        <f t="shared" si="16"/>
        <v>5890.8829999999998</v>
      </c>
      <c r="AB62" s="134"/>
      <c r="AC62" s="134">
        <v>5890.8829999999998</v>
      </c>
      <c r="AD62" s="134"/>
      <c r="AE62" s="134"/>
      <c r="AF62" s="130">
        <f t="shared" si="1"/>
        <v>46.38490551181102</v>
      </c>
      <c r="AG62" s="43"/>
      <c r="AH62" s="131">
        <f t="shared" si="17"/>
        <v>46.38490551181102</v>
      </c>
      <c r="AI62" s="43"/>
      <c r="AJ62" s="43"/>
    </row>
    <row r="63" spans="1:36" ht="55.2" customHeight="1" x14ac:dyDescent="0.25">
      <c r="A63" s="5">
        <v>6</v>
      </c>
      <c r="B63" s="164" t="s">
        <v>202</v>
      </c>
      <c r="C63" s="132" t="s">
        <v>322</v>
      </c>
      <c r="D63" s="67" t="s">
        <v>45</v>
      </c>
      <c r="E63" s="67">
        <v>2025</v>
      </c>
      <c r="F63" s="173" t="s">
        <v>369</v>
      </c>
      <c r="G63" s="146">
        <v>412900</v>
      </c>
      <c r="H63" s="145"/>
      <c r="I63" s="146">
        <v>396800</v>
      </c>
      <c r="J63" s="146">
        <v>16100</v>
      </c>
      <c r="K63" s="134"/>
      <c r="L63" s="40">
        <v>313511</v>
      </c>
      <c r="M63" s="134"/>
      <c r="N63" s="40">
        <v>313511</v>
      </c>
      <c r="O63" s="134"/>
      <c r="P63" s="40"/>
      <c r="Q63" s="146">
        <v>412900</v>
      </c>
      <c r="R63" s="146"/>
      <c r="S63" s="146">
        <v>396800</v>
      </c>
      <c r="T63" s="146">
        <v>16100</v>
      </c>
      <c r="U63" s="146"/>
      <c r="V63" s="134">
        <f t="shared" si="15"/>
        <v>412900</v>
      </c>
      <c r="W63" s="134"/>
      <c r="X63" s="134">
        <v>396800</v>
      </c>
      <c r="Y63" s="134">
        <v>16100</v>
      </c>
      <c r="Z63" s="134"/>
      <c r="AA63" s="134">
        <f t="shared" si="16"/>
        <v>313511</v>
      </c>
      <c r="AB63" s="134"/>
      <c r="AC63" s="134">
        <v>313511</v>
      </c>
      <c r="AD63" s="134"/>
      <c r="AE63" s="134"/>
      <c r="AF63" s="130">
        <f t="shared" si="1"/>
        <v>75.929038508113351</v>
      </c>
      <c r="AG63" s="43"/>
      <c r="AH63" s="131">
        <f t="shared" si="17"/>
        <v>79.009828629032256</v>
      </c>
      <c r="AI63" s="43"/>
      <c r="AJ63" s="43"/>
    </row>
    <row r="64" spans="1:36" ht="55.2" customHeight="1" x14ac:dyDescent="0.25">
      <c r="A64" s="5">
        <v>7</v>
      </c>
      <c r="B64" s="164" t="s">
        <v>175</v>
      </c>
      <c r="C64" s="132" t="s">
        <v>346</v>
      </c>
      <c r="D64" s="67" t="s">
        <v>45</v>
      </c>
      <c r="E64" s="67">
        <v>2023</v>
      </c>
      <c r="F64" s="177" t="s">
        <v>370</v>
      </c>
      <c r="G64" s="146">
        <v>159300</v>
      </c>
      <c r="H64" s="146"/>
      <c r="I64" s="146">
        <v>151700</v>
      </c>
      <c r="J64" s="146">
        <v>7600</v>
      </c>
      <c r="K64" s="134"/>
      <c r="L64" s="40">
        <v>148541.03200000001</v>
      </c>
      <c r="M64" s="146"/>
      <c r="N64" s="134">
        <v>148541.03200000001</v>
      </c>
      <c r="O64" s="134">
        <v>0</v>
      </c>
      <c r="P64" s="40"/>
      <c r="Q64" s="146">
        <v>159300</v>
      </c>
      <c r="R64" s="146"/>
      <c r="S64" s="146">
        <v>151700</v>
      </c>
      <c r="T64" s="146">
        <v>7600</v>
      </c>
      <c r="U64" s="146"/>
      <c r="V64" s="134">
        <f t="shared" si="15"/>
        <v>26700</v>
      </c>
      <c r="W64" s="134"/>
      <c r="X64" s="134">
        <v>19100</v>
      </c>
      <c r="Y64" s="134">
        <v>7600</v>
      </c>
      <c r="Z64" s="134"/>
      <c r="AA64" s="134">
        <f t="shared" si="16"/>
        <v>15941.031999999999</v>
      </c>
      <c r="AB64" s="134"/>
      <c r="AC64" s="134">
        <v>15941.031999999999</v>
      </c>
      <c r="AD64" s="134"/>
      <c r="AE64" s="134"/>
      <c r="AF64" s="130">
        <f t="shared" si="1"/>
        <v>59.704239700374529</v>
      </c>
      <c r="AG64" s="43"/>
      <c r="AH64" s="131">
        <f t="shared" si="17"/>
        <v>83.460900523560213</v>
      </c>
      <c r="AI64" s="43"/>
      <c r="AJ64" s="43"/>
    </row>
    <row r="65" spans="1:36" ht="43.2" customHeight="1" x14ac:dyDescent="0.25">
      <c r="A65" s="5">
        <v>8</v>
      </c>
      <c r="B65" s="164" t="s">
        <v>184</v>
      </c>
      <c r="C65" s="132" t="s">
        <v>300</v>
      </c>
      <c r="D65" s="67" t="s">
        <v>45</v>
      </c>
      <c r="E65" s="67">
        <v>2023</v>
      </c>
      <c r="F65" s="173" t="s">
        <v>371</v>
      </c>
      <c r="G65" s="146">
        <v>441100</v>
      </c>
      <c r="H65" s="146"/>
      <c r="I65" s="146">
        <v>420100</v>
      </c>
      <c r="J65" s="146">
        <v>21000</v>
      </c>
      <c r="K65" s="134"/>
      <c r="L65" s="40">
        <v>316124.12199999997</v>
      </c>
      <c r="M65" s="146"/>
      <c r="N65" s="146">
        <v>295124.12199999997</v>
      </c>
      <c r="O65" s="134">
        <v>21000</v>
      </c>
      <c r="P65" s="40"/>
      <c r="Q65" s="146">
        <v>441100</v>
      </c>
      <c r="R65" s="146"/>
      <c r="S65" s="146">
        <v>420100</v>
      </c>
      <c r="T65" s="146">
        <v>21000</v>
      </c>
      <c r="U65" s="146"/>
      <c r="V65" s="134">
        <f t="shared" si="15"/>
        <v>216100</v>
      </c>
      <c r="W65" s="134"/>
      <c r="X65" s="134">
        <v>216100</v>
      </c>
      <c r="Y65" s="134"/>
      <c r="Z65" s="134"/>
      <c r="AA65" s="134">
        <f t="shared" si="16"/>
        <v>91124.122000000003</v>
      </c>
      <c r="AB65" s="134"/>
      <c r="AC65" s="134">
        <v>91124.122000000003</v>
      </c>
      <c r="AD65" s="134"/>
      <c r="AE65" s="134"/>
      <c r="AF65" s="130">
        <f t="shared" si="1"/>
        <v>42.167571494678391</v>
      </c>
      <c r="AG65" s="43"/>
      <c r="AH65" s="131">
        <f t="shared" si="17"/>
        <v>42.167571494678391</v>
      </c>
      <c r="AI65" s="43"/>
      <c r="AJ65" s="43"/>
    </row>
    <row r="66" spans="1:36" ht="39" customHeight="1" x14ac:dyDescent="0.25">
      <c r="A66" s="5">
        <v>9</v>
      </c>
      <c r="B66" s="181" t="s">
        <v>171</v>
      </c>
      <c r="C66" s="132" t="s">
        <v>339</v>
      </c>
      <c r="D66" s="122" t="s">
        <v>45</v>
      </c>
      <c r="E66" s="67">
        <v>2023</v>
      </c>
      <c r="F66" s="173" t="s">
        <v>372</v>
      </c>
      <c r="G66" s="146">
        <v>477800</v>
      </c>
      <c r="H66" s="145"/>
      <c r="I66" s="166">
        <v>455000</v>
      </c>
      <c r="J66" s="166">
        <v>22800</v>
      </c>
      <c r="K66" s="134"/>
      <c r="L66" s="134">
        <v>476614</v>
      </c>
      <c r="M66" s="134"/>
      <c r="N66" s="134">
        <v>455000</v>
      </c>
      <c r="O66" s="134">
        <v>21614</v>
      </c>
      <c r="P66" s="40"/>
      <c r="Q66" s="166">
        <v>477800</v>
      </c>
      <c r="R66" s="166"/>
      <c r="S66" s="142">
        <v>455000</v>
      </c>
      <c r="T66" s="142">
        <v>22800</v>
      </c>
      <c r="U66" s="142"/>
      <c r="V66" s="134">
        <f t="shared" si="15"/>
        <v>22800</v>
      </c>
      <c r="W66" s="134"/>
      <c r="X66" s="134"/>
      <c r="Y66" s="134">
        <v>22800</v>
      </c>
      <c r="Z66" s="134"/>
      <c r="AA66" s="134">
        <f t="shared" si="16"/>
        <v>19683.485000000001</v>
      </c>
      <c r="AB66" s="134"/>
      <c r="AC66" s="134"/>
      <c r="AD66" s="134">
        <v>19683.485000000001</v>
      </c>
      <c r="AE66" s="134"/>
      <c r="AF66" s="130">
        <f t="shared" si="1"/>
        <v>86.331074561403511</v>
      </c>
      <c r="AG66" s="43"/>
      <c r="AH66" s="131"/>
      <c r="AI66" s="43"/>
      <c r="AJ66" s="43"/>
    </row>
    <row r="67" spans="1:36" ht="55.2" customHeight="1" x14ac:dyDescent="0.25">
      <c r="A67" s="5">
        <v>10</v>
      </c>
      <c r="B67" s="164" t="s">
        <v>216</v>
      </c>
      <c r="C67" s="132" t="s">
        <v>324</v>
      </c>
      <c r="D67" s="67" t="s">
        <v>45</v>
      </c>
      <c r="E67" s="67" t="s">
        <v>332</v>
      </c>
      <c r="F67" s="173" t="s">
        <v>373</v>
      </c>
      <c r="G67" s="146">
        <v>220500</v>
      </c>
      <c r="H67" s="146"/>
      <c r="I67" s="146">
        <v>210000</v>
      </c>
      <c r="J67" s="146">
        <v>10500</v>
      </c>
      <c r="K67" s="134"/>
      <c r="L67" s="40">
        <v>203263.807</v>
      </c>
      <c r="M67" s="146"/>
      <c r="N67" s="134">
        <v>203263.807</v>
      </c>
      <c r="O67" s="134">
        <v>0</v>
      </c>
      <c r="P67" s="40"/>
      <c r="Q67" s="146">
        <v>220500</v>
      </c>
      <c r="R67" s="146"/>
      <c r="S67" s="146">
        <v>210000</v>
      </c>
      <c r="T67" s="146">
        <v>10500</v>
      </c>
      <c r="U67" s="146"/>
      <c r="V67" s="134">
        <f t="shared" si="15"/>
        <v>220500</v>
      </c>
      <c r="W67" s="134"/>
      <c r="X67" s="134">
        <v>210000</v>
      </c>
      <c r="Y67" s="134">
        <v>10500</v>
      </c>
      <c r="Z67" s="134"/>
      <c r="AA67" s="134">
        <f t="shared" si="16"/>
        <v>189000</v>
      </c>
      <c r="AB67" s="134"/>
      <c r="AC67" s="134">
        <v>189000</v>
      </c>
      <c r="AD67" s="134"/>
      <c r="AE67" s="134"/>
      <c r="AF67" s="130">
        <f t="shared" si="1"/>
        <v>85.714285714285708</v>
      </c>
      <c r="AG67" s="43"/>
      <c r="AH67" s="131">
        <f t="shared" ref="AH67:AH75" si="18">AC67/X67*100</f>
        <v>90</v>
      </c>
      <c r="AI67" s="43"/>
      <c r="AJ67" s="43"/>
    </row>
    <row r="68" spans="1:36" ht="55.2" customHeight="1" x14ac:dyDescent="0.25">
      <c r="A68" s="5">
        <v>11</v>
      </c>
      <c r="B68" s="164" t="s">
        <v>219</v>
      </c>
      <c r="C68" s="132" t="s">
        <v>374</v>
      </c>
      <c r="D68" s="67" t="s">
        <v>45</v>
      </c>
      <c r="E68" s="67" t="s">
        <v>332</v>
      </c>
      <c r="F68" s="173" t="s">
        <v>375</v>
      </c>
      <c r="G68" s="146">
        <v>126860</v>
      </c>
      <c r="H68" s="146"/>
      <c r="I68" s="146">
        <v>120820</v>
      </c>
      <c r="J68" s="146">
        <v>6040</v>
      </c>
      <c r="K68" s="134"/>
      <c r="L68" s="40">
        <v>113899.139</v>
      </c>
      <c r="M68" s="146"/>
      <c r="N68" s="134">
        <v>113899.139</v>
      </c>
      <c r="O68" s="134">
        <v>0</v>
      </c>
      <c r="P68" s="40"/>
      <c r="Q68" s="146">
        <v>126860</v>
      </c>
      <c r="R68" s="146"/>
      <c r="S68" s="146">
        <v>120820</v>
      </c>
      <c r="T68" s="146">
        <v>6040</v>
      </c>
      <c r="U68" s="146"/>
      <c r="V68" s="134">
        <f t="shared" si="15"/>
        <v>126860</v>
      </c>
      <c r="W68" s="134"/>
      <c r="X68" s="134">
        <v>120820</v>
      </c>
      <c r="Y68" s="134">
        <v>6040</v>
      </c>
      <c r="Z68" s="134"/>
      <c r="AA68" s="134">
        <f t="shared" si="16"/>
        <v>107000</v>
      </c>
      <c r="AB68" s="134"/>
      <c r="AC68" s="134">
        <v>107000</v>
      </c>
      <c r="AD68" s="134"/>
      <c r="AE68" s="134"/>
      <c r="AF68" s="130">
        <f t="shared" si="1"/>
        <v>84.34494718587419</v>
      </c>
      <c r="AG68" s="43"/>
      <c r="AH68" s="131">
        <f t="shared" si="18"/>
        <v>88.561496440986588</v>
      </c>
      <c r="AI68" s="43"/>
      <c r="AJ68" s="43"/>
    </row>
    <row r="69" spans="1:36" ht="55.2" customHeight="1" x14ac:dyDescent="0.25">
      <c r="A69" s="5">
        <v>12</v>
      </c>
      <c r="B69" s="164" t="s">
        <v>205</v>
      </c>
      <c r="C69" s="132" t="s">
        <v>305</v>
      </c>
      <c r="D69" s="122" t="s">
        <v>45</v>
      </c>
      <c r="E69" s="67">
        <v>2025</v>
      </c>
      <c r="F69" s="173" t="s">
        <v>376</v>
      </c>
      <c r="G69" s="166">
        <v>441000</v>
      </c>
      <c r="H69" s="145"/>
      <c r="I69" s="182">
        <v>420000</v>
      </c>
      <c r="J69" s="182">
        <v>21000</v>
      </c>
      <c r="K69" s="134"/>
      <c r="L69" s="40">
        <v>253464</v>
      </c>
      <c r="M69" s="134"/>
      <c r="N69" s="40">
        <v>253464</v>
      </c>
      <c r="O69" s="134"/>
      <c r="P69" s="40"/>
      <c r="Q69" s="182">
        <v>441000</v>
      </c>
      <c r="R69" s="183"/>
      <c r="S69" s="184">
        <v>420000</v>
      </c>
      <c r="T69" s="184">
        <v>21000</v>
      </c>
      <c r="U69" s="185"/>
      <c r="V69" s="134">
        <f t="shared" si="15"/>
        <v>441000</v>
      </c>
      <c r="W69" s="134"/>
      <c r="X69" s="134">
        <v>420000</v>
      </c>
      <c r="Y69" s="134">
        <v>21000</v>
      </c>
      <c r="Z69" s="134"/>
      <c r="AA69" s="134">
        <f t="shared" si="16"/>
        <v>253464</v>
      </c>
      <c r="AB69" s="134"/>
      <c r="AC69" s="134">
        <v>253464</v>
      </c>
      <c r="AD69" s="134"/>
      <c r="AE69" s="134"/>
      <c r="AF69" s="130">
        <f t="shared" si="1"/>
        <v>57.474829931972792</v>
      </c>
      <c r="AG69" s="43"/>
      <c r="AH69" s="131">
        <f t="shared" si="18"/>
        <v>60.348571428571432</v>
      </c>
      <c r="AI69" s="43"/>
      <c r="AJ69" s="43"/>
    </row>
    <row r="70" spans="1:36" ht="55.2" customHeight="1" x14ac:dyDescent="0.25">
      <c r="A70" s="5">
        <v>13</v>
      </c>
      <c r="B70" s="164" t="s">
        <v>223</v>
      </c>
      <c r="C70" s="132" t="s">
        <v>318</v>
      </c>
      <c r="D70" s="67" t="s">
        <v>45</v>
      </c>
      <c r="E70" s="67" t="s">
        <v>332</v>
      </c>
      <c r="F70" s="173" t="s">
        <v>377</v>
      </c>
      <c r="G70" s="143">
        <v>257300</v>
      </c>
      <c r="H70" s="142"/>
      <c r="I70" s="146">
        <v>245000</v>
      </c>
      <c r="J70" s="146">
        <v>12300</v>
      </c>
      <c r="K70" s="134"/>
      <c r="L70" s="40">
        <v>212955.59899999999</v>
      </c>
      <c r="M70" s="146"/>
      <c r="N70" s="134">
        <v>212955.59899999999</v>
      </c>
      <c r="O70" s="134">
        <v>0</v>
      </c>
      <c r="P70" s="40"/>
      <c r="Q70" s="146">
        <v>257300</v>
      </c>
      <c r="R70" s="146"/>
      <c r="S70" s="146">
        <v>245000</v>
      </c>
      <c r="T70" s="146">
        <v>12300</v>
      </c>
      <c r="U70" s="146"/>
      <c r="V70" s="134">
        <f t="shared" si="15"/>
        <v>257300</v>
      </c>
      <c r="W70" s="134"/>
      <c r="X70" s="134">
        <v>245000</v>
      </c>
      <c r="Y70" s="134">
        <v>12300</v>
      </c>
      <c r="Z70" s="134"/>
      <c r="AA70" s="134">
        <f t="shared" si="16"/>
        <v>191000</v>
      </c>
      <c r="AB70" s="134"/>
      <c r="AC70" s="134">
        <v>191000</v>
      </c>
      <c r="AD70" s="134"/>
      <c r="AE70" s="134"/>
      <c r="AF70" s="130">
        <f t="shared" si="1"/>
        <v>74.232413525068026</v>
      </c>
      <c r="AG70" s="43"/>
      <c r="AH70" s="131">
        <f t="shared" si="18"/>
        <v>77.959183673469397</v>
      </c>
      <c r="AI70" s="43"/>
      <c r="AJ70" s="43"/>
    </row>
    <row r="71" spans="1:36" ht="55.2" customHeight="1" x14ac:dyDescent="0.25">
      <c r="A71" s="5">
        <v>14</v>
      </c>
      <c r="B71" s="164" t="s">
        <v>224</v>
      </c>
      <c r="C71" s="132" t="s">
        <v>315</v>
      </c>
      <c r="D71" s="67" t="s">
        <v>45</v>
      </c>
      <c r="E71" s="67" t="s">
        <v>332</v>
      </c>
      <c r="F71" s="173" t="s">
        <v>378</v>
      </c>
      <c r="G71" s="166">
        <v>330800</v>
      </c>
      <c r="H71" s="145"/>
      <c r="I71" s="146">
        <v>315000</v>
      </c>
      <c r="J71" s="146">
        <v>15800</v>
      </c>
      <c r="K71" s="134"/>
      <c r="L71" s="40">
        <v>315585.44199999998</v>
      </c>
      <c r="M71" s="146"/>
      <c r="N71" s="134">
        <v>315585.44199999998</v>
      </c>
      <c r="O71" s="134">
        <v>0</v>
      </c>
      <c r="P71" s="40"/>
      <c r="Q71" s="146">
        <v>330800</v>
      </c>
      <c r="R71" s="146"/>
      <c r="S71" s="146">
        <v>315000</v>
      </c>
      <c r="T71" s="146">
        <v>15800</v>
      </c>
      <c r="U71" s="146"/>
      <c r="V71" s="134">
        <f t="shared" si="15"/>
        <v>330800</v>
      </c>
      <c r="W71" s="134"/>
      <c r="X71" s="134">
        <v>315000</v>
      </c>
      <c r="Y71" s="134">
        <v>15800</v>
      </c>
      <c r="Z71" s="134"/>
      <c r="AA71" s="134">
        <f t="shared" si="16"/>
        <v>295000</v>
      </c>
      <c r="AB71" s="134"/>
      <c r="AC71" s="134">
        <v>295000</v>
      </c>
      <c r="AD71" s="134"/>
      <c r="AE71" s="134"/>
      <c r="AF71" s="130">
        <f t="shared" si="1"/>
        <v>89.177750906892385</v>
      </c>
      <c r="AG71" s="43"/>
      <c r="AH71" s="131">
        <f t="shared" si="18"/>
        <v>93.650793650793645</v>
      </c>
      <c r="AI71" s="43"/>
      <c r="AJ71" s="43"/>
    </row>
    <row r="72" spans="1:36" ht="55.2" customHeight="1" x14ac:dyDescent="0.25">
      <c r="A72" s="5">
        <v>15</v>
      </c>
      <c r="B72" s="164" t="s">
        <v>196</v>
      </c>
      <c r="C72" s="132" t="s">
        <v>293</v>
      </c>
      <c r="D72" s="122" t="s">
        <v>45</v>
      </c>
      <c r="E72" s="67">
        <v>2024</v>
      </c>
      <c r="F72" s="173" t="s">
        <v>379</v>
      </c>
      <c r="G72" s="134">
        <v>286900</v>
      </c>
      <c r="H72" s="145"/>
      <c r="I72" s="175">
        <v>273200</v>
      </c>
      <c r="J72" s="146">
        <v>13700</v>
      </c>
      <c r="K72" s="134"/>
      <c r="L72" s="40">
        <v>274000</v>
      </c>
      <c r="M72" s="134"/>
      <c r="N72" s="186">
        <v>264200</v>
      </c>
      <c r="O72" s="134">
        <v>9800</v>
      </c>
      <c r="P72" s="40"/>
      <c r="Q72" s="175">
        <v>286900</v>
      </c>
      <c r="R72" s="146"/>
      <c r="S72" s="175">
        <v>273200</v>
      </c>
      <c r="T72" s="175">
        <v>13700</v>
      </c>
      <c r="U72" s="146"/>
      <c r="V72" s="134">
        <f t="shared" si="15"/>
        <v>81600</v>
      </c>
      <c r="W72" s="134"/>
      <c r="X72" s="134">
        <v>77700</v>
      </c>
      <c r="Y72" s="134">
        <v>3900</v>
      </c>
      <c r="Z72" s="134"/>
      <c r="AA72" s="134">
        <f t="shared" si="16"/>
        <v>64000</v>
      </c>
      <c r="AB72" s="134"/>
      <c r="AC72" s="134">
        <v>64000</v>
      </c>
      <c r="AD72" s="134"/>
      <c r="AE72" s="134"/>
      <c r="AF72" s="130">
        <f t="shared" si="1"/>
        <v>78.431372549019613</v>
      </c>
      <c r="AG72" s="43"/>
      <c r="AH72" s="131">
        <f t="shared" si="18"/>
        <v>82.368082368082369</v>
      </c>
      <c r="AI72" s="43"/>
      <c r="AJ72" s="43"/>
    </row>
    <row r="73" spans="1:36" ht="55.2" customHeight="1" x14ac:dyDescent="0.25">
      <c r="A73" s="5">
        <v>16</v>
      </c>
      <c r="B73" s="176" t="s">
        <v>195</v>
      </c>
      <c r="C73" s="132" t="s">
        <v>293</v>
      </c>
      <c r="D73" s="67" t="s">
        <v>45</v>
      </c>
      <c r="E73" s="67">
        <v>2024</v>
      </c>
      <c r="F73" s="173" t="s">
        <v>380</v>
      </c>
      <c r="G73" s="134">
        <v>327380</v>
      </c>
      <c r="H73" s="142"/>
      <c r="I73" s="146">
        <v>311580</v>
      </c>
      <c r="J73" s="146">
        <v>15800</v>
      </c>
      <c r="K73" s="134"/>
      <c r="L73" s="40">
        <v>314401.022</v>
      </c>
      <c r="M73" s="146"/>
      <c r="N73" s="146">
        <v>298601.022</v>
      </c>
      <c r="O73" s="134">
        <v>15800</v>
      </c>
      <c r="P73" s="40"/>
      <c r="Q73" s="146">
        <v>327380</v>
      </c>
      <c r="R73" s="146"/>
      <c r="S73" s="146">
        <v>311580</v>
      </c>
      <c r="T73" s="146">
        <v>15800</v>
      </c>
      <c r="U73" s="146"/>
      <c r="V73" s="134">
        <f t="shared" si="15"/>
        <v>43600</v>
      </c>
      <c r="W73" s="134"/>
      <c r="X73" s="134">
        <v>43600</v>
      </c>
      <c r="Y73" s="134"/>
      <c r="Z73" s="134"/>
      <c r="AA73" s="134">
        <f t="shared" si="16"/>
        <v>27401.022000000001</v>
      </c>
      <c r="AB73" s="134"/>
      <c r="AC73" s="134">
        <v>27401.022000000001</v>
      </c>
      <c r="AD73" s="134"/>
      <c r="AE73" s="134"/>
      <c r="AF73" s="130">
        <f t="shared" si="1"/>
        <v>62.846380733944954</v>
      </c>
      <c r="AG73" s="43"/>
      <c r="AH73" s="131">
        <f t="shared" si="18"/>
        <v>62.846380733944954</v>
      </c>
      <c r="AI73" s="43"/>
      <c r="AJ73" s="43"/>
    </row>
    <row r="74" spans="1:36" ht="50.4" customHeight="1" x14ac:dyDescent="0.25">
      <c r="A74" s="5">
        <v>17</v>
      </c>
      <c r="B74" s="164" t="s">
        <v>178</v>
      </c>
      <c r="C74" s="132" t="s">
        <v>342</v>
      </c>
      <c r="D74" s="67" t="s">
        <v>45</v>
      </c>
      <c r="E74" s="67">
        <v>2023</v>
      </c>
      <c r="F74" s="177" t="s">
        <v>381</v>
      </c>
      <c r="G74" s="134">
        <v>315700</v>
      </c>
      <c r="H74" s="142"/>
      <c r="I74" s="178">
        <v>299500</v>
      </c>
      <c r="J74" s="178">
        <v>16200</v>
      </c>
      <c r="K74" s="134"/>
      <c r="L74" s="40">
        <v>306285.11599999998</v>
      </c>
      <c r="M74" s="178"/>
      <c r="N74" s="178">
        <v>296485.11599999998</v>
      </c>
      <c r="O74" s="134">
        <v>9800</v>
      </c>
      <c r="P74" s="40"/>
      <c r="Q74" s="178">
        <v>315700</v>
      </c>
      <c r="R74" s="178"/>
      <c r="S74" s="178">
        <v>299500</v>
      </c>
      <c r="T74" s="178">
        <v>16200</v>
      </c>
      <c r="U74" s="178"/>
      <c r="V74" s="134">
        <f t="shared" si="15"/>
        <v>70700</v>
      </c>
      <c r="W74" s="134"/>
      <c r="X74" s="134">
        <v>54500</v>
      </c>
      <c r="Y74" s="134">
        <v>16200</v>
      </c>
      <c r="Z74" s="134"/>
      <c r="AA74" s="134">
        <f t="shared" si="16"/>
        <v>61285.116000000002</v>
      </c>
      <c r="AB74" s="134"/>
      <c r="AC74" s="134">
        <v>51485.116000000002</v>
      </c>
      <c r="AD74" s="134">
        <v>9800</v>
      </c>
      <c r="AE74" s="134"/>
      <c r="AF74" s="130">
        <f t="shared" si="1"/>
        <v>86.683332390381892</v>
      </c>
      <c r="AG74" s="43"/>
      <c r="AH74" s="131">
        <f t="shared" si="18"/>
        <v>94.468102752293575</v>
      </c>
      <c r="AI74" s="43"/>
      <c r="AJ74" s="43"/>
    </row>
    <row r="75" spans="1:36" ht="39.6" customHeight="1" x14ac:dyDescent="0.25">
      <c r="A75" s="5">
        <v>18</v>
      </c>
      <c r="B75" s="187" t="s">
        <v>194</v>
      </c>
      <c r="C75" s="132" t="s">
        <v>327</v>
      </c>
      <c r="D75" s="67" t="s">
        <v>45</v>
      </c>
      <c r="E75" s="67" t="s">
        <v>382</v>
      </c>
      <c r="F75" s="173" t="s">
        <v>383</v>
      </c>
      <c r="G75" s="134">
        <v>963400</v>
      </c>
      <c r="H75" s="166"/>
      <c r="I75" s="166">
        <v>910400</v>
      </c>
      <c r="J75" s="166">
        <v>53000</v>
      </c>
      <c r="K75" s="134"/>
      <c r="L75" s="134">
        <v>911500</v>
      </c>
      <c r="M75" s="134"/>
      <c r="N75" s="134">
        <v>900000</v>
      </c>
      <c r="O75" s="134">
        <v>11500</v>
      </c>
      <c r="P75" s="134"/>
      <c r="Q75" s="134">
        <v>919900</v>
      </c>
      <c r="R75" s="134"/>
      <c r="S75" s="134">
        <v>869300</v>
      </c>
      <c r="T75" s="134">
        <v>50600</v>
      </c>
      <c r="U75" s="40"/>
      <c r="V75" s="134">
        <f t="shared" si="15"/>
        <v>101311.126</v>
      </c>
      <c r="W75" s="134"/>
      <c r="X75" s="134">
        <f>46280.463</f>
        <v>46280.463000000003</v>
      </c>
      <c r="Y75" s="134">
        <f>55030.663</f>
        <v>55030.663</v>
      </c>
      <c r="Z75" s="134"/>
      <c r="AA75" s="134">
        <f t="shared" si="16"/>
        <v>0</v>
      </c>
      <c r="AB75" s="134"/>
      <c r="AC75" s="134"/>
      <c r="AD75" s="134"/>
      <c r="AE75" s="134"/>
      <c r="AF75" s="130">
        <f t="shared" ref="AF75:AF79" si="19">AA75/V75*100</f>
        <v>0</v>
      </c>
      <c r="AG75" s="43"/>
      <c r="AH75" s="131">
        <f t="shared" si="18"/>
        <v>0</v>
      </c>
      <c r="AI75" s="43"/>
      <c r="AJ75" s="43"/>
    </row>
    <row r="76" spans="1:36" ht="30" customHeight="1" x14ac:dyDescent="0.25">
      <c r="A76" s="3" t="s">
        <v>384</v>
      </c>
      <c r="B76" s="188" t="s">
        <v>385</v>
      </c>
      <c r="C76" s="180"/>
      <c r="D76" s="67"/>
      <c r="E76" s="122"/>
      <c r="F76" s="122"/>
      <c r="G76" s="40">
        <v>475000</v>
      </c>
      <c r="H76" s="40">
        <v>0</v>
      </c>
      <c r="I76" s="40">
        <v>0</v>
      </c>
      <c r="J76" s="40">
        <v>0</v>
      </c>
      <c r="K76" s="40">
        <v>475000</v>
      </c>
      <c r="L76" s="40">
        <v>0</v>
      </c>
      <c r="M76" s="40">
        <v>0</v>
      </c>
      <c r="N76" s="40">
        <v>0</v>
      </c>
      <c r="O76" s="40">
        <v>0</v>
      </c>
      <c r="P76" s="40">
        <v>0</v>
      </c>
      <c r="Q76" s="40">
        <v>0</v>
      </c>
      <c r="R76" s="40">
        <v>0</v>
      </c>
      <c r="S76" s="40">
        <v>0</v>
      </c>
      <c r="T76" s="40">
        <v>0</v>
      </c>
      <c r="U76" s="40">
        <v>0</v>
      </c>
      <c r="V76" s="40">
        <f>V77</f>
        <v>150000</v>
      </c>
      <c r="W76" s="40">
        <f t="shared" ref="W76:AE76" si="20">W77</f>
        <v>0</v>
      </c>
      <c r="X76" s="40">
        <f t="shared" si="20"/>
        <v>0</v>
      </c>
      <c r="Y76" s="40">
        <f t="shared" si="20"/>
        <v>0</v>
      </c>
      <c r="Z76" s="40">
        <f t="shared" si="20"/>
        <v>150000</v>
      </c>
      <c r="AA76" s="40">
        <f t="shared" si="20"/>
        <v>150000</v>
      </c>
      <c r="AB76" s="40">
        <f t="shared" si="20"/>
        <v>0</v>
      </c>
      <c r="AC76" s="40">
        <f t="shared" si="20"/>
        <v>0</v>
      </c>
      <c r="AD76" s="40">
        <f t="shared" si="20"/>
        <v>0</v>
      </c>
      <c r="AE76" s="40">
        <f t="shared" si="20"/>
        <v>150000</v>
      </c>
      <c r="AF76" s="130">
        <f t="shared" si="19"/>
        <v>100</v>
      </c>
      <c r="AG76" s="35"/>
      <c r="AH76" s="131"/>
      <c r="AI76" s="35"/>
      <c r="AJ76" s="35"/>
    </row>
    <row r="77" spans="1:36" ht="52.2" customHeight="1" x14ac:dyDescent="0.25">
      <c r="A77" s="5">
        <v>1</v>
      </c>
      <c r="B77" s="164" t="s">
        <v>174</v>
      </c>
      <c r="C77" s="132" t="s">
        <v>386</v>
      </c>
      <c r="D77" s="67"/>
      <c r="E77" s="67" t="s">
        <v>387</v>
      </c>
      <c r="F77" s="189" t="s">
        <v>388</v>
      </c>
      <c r="G77" s="134">
        <v>475000</v>
      </c>
      <c r="H77" s="142"/>
      <c r="I77" s="142"/>
      <c r="J77" s="143">
        <v>0</v>
      </c>
      <c r="K77" s="134">
        <v>475000</v>
      </c>
      <c r="L77" s="40">
        <v>0</v>
      </c>
      <c r="M77" s="40"/>
      <c r="N77" s="40"/>
      <c r="O77" s="40"/>
      <c r="P77" s="40"/>
      <c r="Q77" s="40">
        <v>0</v>
      </c>
      <c r="R77" s="40"/>
      <c r="S77" s="40"/>
      <c r="T77" s="40"/>
      <c r="U77" s="40"/>
      <c r="V77" s="134">
        <f>SUM(W77:Z77)</f>
        <v>150000</v>
      </c>
      <c r="W77" s="134"/>
      <c r="X77" s="134"/>
      <c r="Y77" s="134"/>
      <c r="Z77" s="134">
        <v>150000</v>
      </c>
      <c r="AA77" s="134">
        <f>SUM(AB77:AE77)</f>
        <v>150000</v>
      </c>
      <c r="AB77" s="134"/>
      <c r="AC77" s="134"/>
      <c r="AD77" s="134"/>
      <c r="AE77" s="134">
        <v>150000</v>
      </c>
      <c r="AF77" s="130">
        <f t="shared" si="19"/>
        <v>100</v>
      </c>
      <c r="AG77" s="43"/>
      <c r="AH77" s="131"/>
      <c r="AI77" s="43"/>
      <c r="AJ77" s="43"/>
    </row>
    <row r="78" spans="1:36" ht="27" customHeight="1" x14ac:dyDescent="0.25">
      <c r="A78" s="3" t="s">
        <v>389</v>
      </c>
      <c r="B78" s="188" t="s">
        <v>390</v>
      </c>
      <c r="C78" s="180"/>
      <c r="D78" s="67"/>
      <c r="E78" s="122"/>
      <c r="F78" s="122"/>
      <c r="G78" s="40">
        <v>616000</v>
      </c>
      <c r="H78" s="40">
        <v>0</v>
      </c>
      <c r="I78" s="40">
        <v>560000</v>
      </c>
      <c r="J78" s="40">
        <v>56000</v>
      </c>
      <c r="K78" s="40">
        <v>0</v>
      </c>
      <c r="L78" s="40">
        <v>616000</v>
      </c>
      <c r="M78" s="40">
        <v>0</v>
      </c>
      <c r="N78" s="40">
        <v>560000</v>
      </c>
      <c r="O78" s="40">
        <v>56000</v>
      </c>
      <c r="P78" s="40">
        <v>0</v>
      </c>
      <c r="Q78" s="40">
        <v>616000</v>
      </c>
      <c r="R78" s="40">
        <v>0</v>
      </c>
      <c r="S78" s="40">
        <v>560000</v>
      </c>
      <c r="T78" s="40">
        <v>56000</v>
      </c>
      <c r="U78" s="40">
        <v>0</v>
      </c>
      <c r="V78" s="40">
        <f>V79</f>
        <v>616000</v>
      </c>
      <c r="W78" s="40">
        <f t="shared" ref="W78:AE78" si="21">W79</f>
        <v>0</v>
      </c>
      <c r="X78" s="40">
        <f t="shared" si="21"/>
        <v>560000</v>
      </c>
      <c r="Y78" s="40">
        <f t="shared" si="21"/>
        <v>56000</v>
      </c>
      <c r="Z78" s="40">
        <f t="shared" si="21"/>
        <v>0</v>
      </c>
      <c r="AA78" s="40">
        <f t="shared" si="21"/>
        <v>616000</v>
      </c>
      <c r="AB78" s="40">
        <f t="shared" si="21"/>
        <v>0</v>
      </c>
      <c r="AC78" s="40">
        <f t="shared" si="21"/>
        <v>560000</v>
      </c>
      <c r="AD78" s="40">
        <f t="shared" si="21"/>
        <v>56000</v>
      </c>
      <c r="AE78" s="40">
        <f t="shared" si="21"/>
        <v>0</v>
      </c>
      <c r="AF78" s="130">
        <f t="shared" si="19"/>
        <v>100</v>
      </c>
      <c r="AG78" s="35"/>
      <c r="AH78" s="131">
        <f>AC78/X78*100</f>
        <v>100</v>
      </c>
      <c r="AI78" s="35"/>
      <c r="AJ78" s="35"/>
    </row>
    <row r="79" spans="1:36" ht="60" customHeight="1" x14ac:dyDescent="0.25">
      <c r="A79" s="5">
        <v>1</v>
      </c>
      <c r="B79" s="80" t="s">
        <v>176</v>
      </c>
      <c r="C79" s="132" t="s">
        <v>391</v>
      </c>
      <c r="D79" s="122" t="s">
        <v>45</v>
      </c>
      <c r="E79" s="122"/>
      <c r="F79" s="189" t="s">
        <v>392</v>
      </c>
      <c r="G79" s="134">
        <v>616000</v>
      </c>
      <c r="H79" s="143"/>
      <c r="I79" s="143">
        <v>560000</v>
      </c>
      <c r="J79" s="143">
        <v>56000</v>
      </c>
      <c r="K79" s="134"/>
      <c r="L79" s="134">
        <v>616000</v>
      </c>
      <c r="M79" s="134"/>
      <c r="N79" s="134">
        <v>560000</v>
      </c>
      <c r="O79" s="134">
        <v>56000</v>
      </c>
      <c r="P79" s="134"/>
      <c r="Q79" s="134">
        <v>616000</v>
      </c>
      <c r="R79" s="134"/>
      <c r="S79" s="40">
        <v>560000</v>
      </c>
      <c r="T79" s="40">
        <v>56000</v>
      </c>
      <c r="U79" s="40"/>
      <c r="V79" s="134">
        <f>SUM(W79:Z79)</f>
        <v>616000</v>
      </c>
      <c r="W79" s="134"/>
      <c r="X79" s="134">
        <v>560000</v>
      </c>
      <c r="Y79" s="134">
        <v>56000</v>
      </c>
      <c r="Z79" s="134">
        <v>0</v>
      </c>
      <c r="AA79" s="134">
        <f>SUM(AB79:AE79)</f>
        <v>616000</v>
      </c>
      <c r="AB79" s="134"/>
      <c r="AC79" s="134">
        <v>560000</v>
      </c>
      <c r="AD79" s="134">
        <v>56000</v>
      </c>
      <c r="AE79" s="134">
        <v>0</v>
      </c>
      <c r="AF79" s="130">
        <f t="shared" si="19"/>
        <v>100</v>
      </c>
      <c r="AG79" s="43"/>
      <c r="AH79" s="131">
        <f>AC79/X79*100</f>
        <v>100</v>
      </c>
      <c r="AI79" s="43"/>
      <c r="AJ79" s="43"/>
    </row>
    <row r="80" spans="1:36" x14ac:dyDescent="0.25">
      <c r="B80" s="123"/>
    </row>
  </sheetData>
  <mergeCells count="28">
    <mergeCell ref="A2:AJ2"/>
    <mergeCell ref="A3:AJ3"/>
    <mergeCell ref="A5:A8"/>
    <mergeCell ref="B5:B8"/>
    <mergeCell ref="C5:C8"/>
    <mergeCell ref="D5:D8"/>
    <mergeCell ref="E5:E8"/>
    <mergeCell ref="F5:K5"/>
    <mergeCell ref="L5:P6"/>
    <mergeCell ref="Q5:U6"/>
    <mergeCell ref="V5:Z6"/>
    <mergeCell ref="AA5:AE6"/>
    <mergeCell ref="AF5:AJ6"/>
    <mergeCell ref="F6:F8"/>
    <mergeCell ref="G6:K6"/>
    <mergeCell ref="G7:G8"/>
    <mergeCell ref="H7:K7"/>
    <mergeCell ref="L7:L8"/>
    <mergeCell ref="M7:P7"/>
    <mergeCell ref="Q7:Q8"/>
    <mergeCell ref="AG7:AJ7"/>
    <mergeCell ref="A10:B10"/>
    <mergeCell ref="R7:U7"/>
    <mergeCell ref="V7:V8"/>
    <mergeCell ref="W7:Z7"/>
    <mergeCell ref="AA7:AA8"/>
    <mergeCell ref="AB7:AE7"/>
    <mergeCell ref="AF7:AF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8BD0-607F-4EC8-B228-82A7B4FD2B03}">
  <dimension ref="A1:P28"/>
  <sheetViews>
    <sheetView zoomScale="85" zoomScaleNormal="85" workbookViewId="0">
      <selection activeCell="F8" sqref="F8:G8"/>
    </sheetView>
  </sheetViews>
  <sheetFormatPr defaultColWidth="8.08984375" defaultRowHeight="15" x14ac:dyDescent="0.25"/>
  <cols>
    <col min="1" max="1" width="4.54296875" style="194" customWidth="1"/>
    <col min="2" max="2" width="33.453125" style="194" customWidth="1"/>
    <col min="3" max="3" width="11.54296875" style="194" customWidth="1"/>
    <col min="4" max="4" width="13.54296875" style="194" customWidth="1"/>
    <col min="5" max="5" width="11.54296875" style="194" customWidth="1"/>
    <col min="6" max="6" width="11.6328125" style="194" customWidth="1"/>
    <col min="7" max="7" width="11" style="194" customWidth="1"/>
    <col min="8" max="8" width="10.26953125" style="194" customWidth="1"/>
    <col min="9" max="9" width="11.81640625" style="194" customWidth="1"/>
    <col min="10" max="10" width="16.81640625" style="194" customWidth="1"/>
    <col min="11" max="11" width="10.453125" style="194" customWidth="1"/>
    <col min="12" max="13" width="10.36328125" style="194" customWidth="1"/>
    <col min="14" max="14" width="9.7265625" style="194" customWidth="1"/>
    <col min="15" max="15" width="31.1796875" style="229" hidden="1" customWidth="1"/>
    <col min="16" max="16" width="8.984375E-2" style="201" hidden="1" customWidth="1"/>
    <col min="17" max="256" width="8.08984375" style="197"/>
    <col min="257" max="257" width="4.54296875" style="197" customWidth="1"/>
    <col min="258" max="258" width="33.453125" style="197" customWidth="1"/>
    <col min="259" max="259" width="11.54296875" style="197" customWidth="1"/>
    <col min="260" max="260" width="13.54296875" style="197" customWidth="1"/>
    <col min="261" max="261" width="11.54296875" style="197" customWidth="1"/>
    <col min="262" max="262" width="11.6328125" style="197" customWidth="1"/>
    <col min="263" max="263" width="11" style="197" customWidth="1"/>
    <col min="264" max="264" width="10.26953125" style="197" customWidth="1"/>
    <col min="265" max="265" width="11.81640625" style="197" customWidth="1"/>
    <col min="266" max="266" width="16.81640625" style="197" customWidth="1"/>
    <col min="267" max="267" width="10.453125" style="197" customWidth="1"/>
    <col min="268" max="269" width="10.36328125" style="197" customWidth="1"/>
    <col min="270" max="270" width="9.7265625" style="197" customWidth="1"/>
    <col min="271" max="272" width="0" style="197" hidden="1" customWidth="1"/>
    <col min="273" max="512" width="8.08984375" style="197"/>
    <col min="513" max="513" width="4.54296875" style="197" customWidth="1"/>
    <col min="514" max="514" width="33.453125" style="197" customWidth="1"/>
    <col min="515" max="515" width="11.54296875" style="197" customWidth="1"/>
    <col min="516" max="516" width="13.54296875" style="197" customWidth="1"/>
    <col min="517" max="517" width="11.54296875" style="197" customWidth="1"/>
    <col min="518" max="518" width="11.6328125" style="197" customWidth="1"/>
    <col min="519" max="519" width="11" style="197" customWidth="1"/>
    <col min="520" max="520" width="10.26953125" style="197" customWidth="1"/>
    <col min="521" max="521" width="11.81640625" style="197" customWidth="1"/>
    <col min="522" max="522" width="16.81640625" style="197" customWidth="1"/>
    <col min="523" max="523" width="10.453125" style="197" customWidth="1"/>
    <col min="524" max="525" width="10.36328125" style="197" customWidth="1"/>
    <col min="526" max="526" width="9.7265625" style="197" customWidth="1"/>
    <col min="527" max="528" width="0" style="197" hidden="1" customWidth="1"/>
    <col min="529" max="768" width="8.08984375" style="197"/>
    <col min="769" max="769" width="4.54296875" style="197" customWidth="1"/>
    <col min="770" max="770" width="33.453125" style="197" customWidth="1"/>
    <col min="771" max="771" width="11.54296875" style="197" customWidth="1"/>
    <col min="772" max="772" width="13.54296875" style="197" customWidth="1"/>
    <col min="773" max="773" width="11.54296875" style="197" customWidth="1"/>
    <col min="774" max="774" width="11.6328125" style="197" customWidth="1"/>
    <col min="775" max="775" width="11" style="197" customWidth="1"/>
    <col min="776" max="776" width="10.26953125" style="197" customWidth="1"/>
    <col min="777" max="777" width="11.81640625" style="197" customWidth="1"/>
    <col min="778" max="778" width="16.81640625" style="197" customWidth="1"/>
    <col min="779" max="779" width="10.453125" style="197" customWidth="1"/>
    <col min="780" max="781" width="10.36328125" style="197" customWidth="1"/>
    <col min="782" max="782" width="9.7265625" style="197" customWidth="1"/>
    <col min="783" max="784" width="0" style="197" hidden="1" customWidth="1"/>
    <col min="785" max="1024" width="8.08984375" style="197"/>
    <col min="1025" max="1025" width="4.54296875" style="197" customWidth="1"/>
    <col min="1026" max="1026" width="33.453125" style="197" customWidth="1"/>
    <col min="1027" max="1027" width="11.54296875" style="197" customWidth="1"/>
    <col min="1028" max="1028" width="13.54296875" style="197" customWidth="1"/>
    <col min="1029" max="1029" width="11.54296875" style="197" customWidth="1"/>
    <col min="1030" max="1030" width="11.6328125" style="197" customWidth="1"/>
    <col min="1031" max="1031" width="11" style="197" customWidth="1"/>
    <col min="1032" max="1032" width="10.26953125" style="197" customWidth="1"/>
    <col min="1033" max="1033" width="11.81640625" style="197" customWidth="1"/>
    <col min="1034" max="1034" width="16.81640625" style="197" customWidth="1"/>
    <col min="1035" max="1035" width="10.453125" style="197" customWidth="1"/>
    <col min="1036" max="1037" width="10.36328125" style="197" customWidth="1"/>
    <col min="1038" max="1038" width="9.7265625" style="197" customWidth="1"/>
    <col min="1039" max="1040" width="0" style="197" hidden="1" customWidth="1"/>
    <col min="1041" max="1280" width="8.08984375" style="197"/>
    <col min="1281" max="1281" width="4.54296875" style="197" customWidth="1"/>
    <col min="1282" max="1282" width="33.453125" style="197" customWidth="1"/>
    <col min="1283" max="1283" width="11.54296875" style="197" customWidth="1"/>
    <col min="1284" max="1284" width="13.54296875" style="197" customWidth="1"/>
    <col min="1285" max="1285" width="11.54296875" style="197" customWidth="1"/>
    <col min="1286" max="1286" width="11.6328125" style="197" customWidth="1"/>
    <col min="1287" max="1287" width="11" style="197" customWidth="1"/>
    <col min="1288" max="1288" width="10.26953125" style="197" customWidth="1"/>
    <col min="1289" max="1289" width="11.81640625" style="197" customWidth="1"/>
    <col min="1290" max="1290" width="16.81640625" style="197" customWidth="1"/>
    <col min="1291" max="1291" width="10.453125" style="197" customWidth="1"/>
    <col min="1292" max="1293" width="10.36328125" style="197" customWidth="1"/>
    <col min="1294" max="1294" width="9.7265625" style="197" customWidth="1"/>
    <col min="1295" max="1296" width="0" style="197" hidden="1" customWidth="1"/>
    <col min="1297" max="1536" width="8.08984375" style="197"/>
    <col min="1537" max="1537" width="4.54296875" style="197" customWidth="1"/>
    <col min="1538" max="1538" width="33.453125" style="197" customWidth="1"/>
    <col min="1539" max="1539" width="11.54296875" style="197" customWidth="1"/>
    <col min="1540" max="1540" width="13.54296875" style="197" customWidth="1"/>
    <col min="1541" max="1541" width="11.54296875" style="197" customWidth="1"/>
    <col min="1542" max="1542" width="11.6328125" style="197" customWidth="1"/>
    <col min="1543" max="1543" width="11" style="197" customWidth="1"/>
    <col min="1544" max="1544" width="10.26953125" style="197" customWidth="1"/>
    <col min="1545" max="1545" width="11.81640625" style="197" customWidth="1"/>
    <col min="1546" max="1546" width="16.81640625" style="197" customWidth="1"/>
    <col min="1547" max="1547" width="10.453125" style="197" customWidth="1"/>
    <col min="1548" max="1549" width="10.36328125" style="197" customWidth="1"/>
    <col min="1550" max="1550" width="9.7265625" style="197" customWidth="1"/>
    <col min="1551" max="1552" width="0" style="197" hidden="1" customWidth="1"/>
    <col min="1553" max="1792" width="8.08984375" style="197"/>
    <col min="1793" max="1793" width="4.54296875" style="197" customWidth="1"/>
    <col min="1794" max="1794" width="33.453125" style="197" customWidth="1"/>
    <col min="1795" max="1795" width="11.54296875" style="197" customWidth="1"/>
    <col min="1796" max="1796" width="13.54296875" style="197" customWidth="1"/>
    <col min="1797" max="1797" width="11.54296875" style="197" customWidth="1"/>
    <col min="1798" max="1798" width="11.6328125" style="197" customWidth="1"/>
    <col min="1799" max="1799" width="11" style="197" customWidth="1"/>
    <col min="1800" max="1800" width="10.26953125" style="197" customWidth="1"/>
    <col min="1801" max="1801" width="11.81640625" style="197" customWidth="1"/>
    <col min="1802" max="1802" width="16.81640625" style="197" customWidth="1"/>
    <col min="1803" max="1803" width="10.453125" style="197" customWidth="1"/>
    <col min="1804" max="1805" width="10.36328125" style="197" customWidth="1"/>
    <col min="1806" max="1806" width="9.7265625" style="197" customWidth="1"/>
    <col min="1807" max="1808" width="0" style="197" hidden="1" customWidth="1"/>
    <col min="1809" max="2048" width="8.08984375" style="197"/>
    <col min="2049" max="2049" width="4.54296875" style="197" customWidth="1"/>
    <col min="2050" max="2050" width="33.453125" style="197" customWidth="1"/>
    <col min="2051" max="2051" width="11.54296875" style="197" customWidth="1"/>
    <col min="2052" max="2052" width="13.54296875" style="197" customWidth="1"/>
    <col min="2053" max="2053" width="11.54296875" style="197" customWidth="1"/>
    <col min="2054" max="2054" width="11.6328125" style="197" customWidth="1"/>
    <col min="2055" max="2055" width="11" style="197" customWidth="1"/>
    <col min="2056" max="2056" width="10.26953125" style="197" customWidth="1"/>
    <col min="2057" max="2057" width="11.81640625" style="197" customWidth="1"/>
    <col min="2058" max="2058" width="16.81640625" style="197" customWidth="1"/>
    <col min="2059" max="2059" width="10.453125" style="197" customWidth="1"/>
    <col min="2060" max="2061" width="10.36328125" style="197" customWidth="1"/>
    <col min="2062" max="2062" width="9.7265625" style="197" customWidth="1"/>
    <col min="2063" max="2064" width="0" style="197" hidden="1" customWidth="1"/>
    <col min="2065" max="2304" width="8.08984375" style="197"/>
    <col min="2305" max="2305" width="4.54296875" style="197" customWidth="1"/>
    <col min="2306" max="2306" width="33.453125" style="197" customWidth="1"/>
    <col min="2307" max="2307" width="11.54296875" style="197" customWidth="1"/>
    <col min="2308" max="2308" width="13.54296875" style="197" customWidth="1"/>
    <col min="2309" max="2309" width="11.54296875" style="197" customWidth="1"/>
    <col min="2310" max="2310" width="11.6328125" style="197" customWidth="1"/>
    <col min="2311" max="2311" width="11" style="197" customWidth="1"/>
    <col min="2312" max="2312" width="10.26953125" style="197" customWidth="1"/>
    <col min="2313" max="2313" width="11.81640625" style="197" customWidth="1"/>
    <col min="2314" max="2314" width="16.81640625" style="197" customWidth="1"/>
    <col min="2315" max="2315" width="10.453125" style="197" customWidth="1"/>
    <col min="2316" max="2317" width="10.36328125" style="197" customWidth="1"/>
    <col min="2318" max="2318" width="9.7265625" style="197" customWidth="1"/>
    <col min="2319" max="2320" width="0" style="197" hidden="1" customWidth="1"/>
    <col min="2321" max="2560" width="8.08984375" style="197"/>
    <col min="2561" max="2561" width="4.54296875" style="197" customWidth="1"/>
    <col min="2562" max="2562" width="33.453125" style="197" customWidth="1"/>
    <col min="2563" max="2563" width="11.54296875" style="197" customWidth="1"/>
    <col min="2564" max="2564" width="13.54296875" style="197" customWidth="1"/>
    <col min="2565" max="2565" width="11.54296875" style="197" customWidth="1"/>
    <col min="2566" max="2566" width="11.6328125" style="197" customWidth="1"/>
    <col min="2567" max="2567" width="11" style="197" customWidth="1"/>
    <col min="2568" max="2568" width="10.26953125" style="197" customWidth="1"/>
    <col min="2569" max="2569" width="11.81640625" style="197" customWidth="1"/>
    <col min="2570" max="2570" width="16.81640625" style="197" customWidth="1"/>
    <col min="2571" max="2571" width="10.453125" style="197" customWidth="1"/>
    <col min="2572" max="2573" width="10.36328125" style="197" customWidth="1"/>
    <col min="2574" max="2574" width="9.7265625" style="197" customWidth="1"/>
    <col min="2575" max="2576" width="0" style="197" hidden="1" customWidth="1"/>
    <col min="2577" max="2816" width="8.08984375" style="197"/>
    <col min="2817" max="2817" width="4.54296875" style="197" customWidth="1"/>
    <col min="2818" max="2818" width="33.453125" style="197" customWidth="1"/>
    <col min="2819" max="2819" width="11.54296875" style="197" customWidth="1"/>
    <col min="2820" max="2820" width="13.54296875" style="197" customWidth="1"/>
    <col min="2821" max="2821" width="11.54296875" style="197" customWidth="1"/>
    <col min="2822" max="2822" width="11.6328125" style="197" customWidth="1"/>
    <col min="2823" max="2823" width="11" style="197" customWidth="1"/>
    <col min="2824" max="2824" width="10.26953125" style="197" customWidth="1"/>
    <col min="2825" max="2825" width="11.81640625" style="197" customWidth="1"/>
    <col min="2826" max="2826" width="16.81640625" style="197" customWidth="1"/>
    <col min="2827" max="2827" width="10.453125" style="197" customWidth="1"/>
    <col min="2828" max="2829" width="10.36328125" style="197" customWidth="1"/>
    <col min="2830" max="2830" width="9.7265625" style="197" customWidth="1"/>
    <col min="2831" max="2832" width="0" style="197" hidden="1" customWidth="1"/>
    <col min="2833" max="3072" width="8.08984375" style="197"/>
    <col min="3073" max="3073" width="4.54296875" style="197" customWidth="1"/>
    <col min="3074" max="3074" width="33.453125" style="197" customWidth="1"/>
    <col min="3075" max="3075" width="11.54296875" style="197" customWidth="1"/>
    <col min="3076" max="3076" width="13.54296875" style="197" customWidth="1"/>
    <col min="3077" max="3077" width="11.54296875" style="197" customWidth="1"/>
    <col min="3078" max="3078" width="11.6328125" style="197" customWidth="1"/>
    <col min="3079" max="3079" width="11" style="197" customWidth="1"/>
    <col min="3080" max="3080" width="10.26953125" style="197" customWidth="1"/>
    <col min="3081" max="3081" width="11.81640625" style="197" customWidth="1"/>
    <col min="3082" max="3082" width="16.81640625" style="197" customWidth="1"/>
    <col min="3083" max="3083" width="10.453125" style="197" customWidth="1"/>
    <col min="3084" max="3085" width="10.36328125" style="197" customWidth="1"/>
    <col min="3086" max="3086" width="9.7265625" style="197" customWidth="1"/>
    <col min="3087" max="3088" width="0" style="197" hidden="1" customWidth="1"/>
    <col min="3089" max="3328" width="8.08984375" style="197"/>
    <col min="3329" max="3329" width="4.54296875" style="197" customWidth="1"/>
    <col min="3330" max="3330" width="33.453125" style="197" customWidth="1"/>
    <col min="3331" max="3331" width="11.54296875" style="197" customWidth="1"/>
    <col min="3332" max="3332" width="13.54296875" style="197" customWidth="1"/>
    <col min="3333" max="3333" width="11.54296875" style="197" customWidth="1"/>
    <col min="3334" max="3334" width="11.6328125" style="197" customWidth="1"/>
    <col min="3335" max="3335" width="11" style="197" customWidth="1"/>
    <col min="3336" max="3336" width="10.26953125" style="197" customWidth="1"/>
    <col min="3337" max="3337" width="11.81640625" style="197" customWidth="1"/>
    <col min="3338" max="3338" width="16.81640625" style="197" customWidth="1"/>
    <col min="3339" max="3339" width="10.453125" style="197" customWidth="1"/>
    <col min="3340" max="3341" width="10.36328125" style="197" customWidth="1"/>
    <col min="3342" max="3342" width="9.7265625" style="197" customWidth="1"/>
    <col min="3343" max="3344" width="0" style="197" hidden="1" customWidth="1"/>
    <col min="3345" max="3584" width="8.08984375" style="197"/>
    <col min="3585" max="3585" width="4.54296875" style="197" customWidth="1"/>
    <col min="3586" max="3586" width="33.453125" style="197" customWidth="1"/>
    <col min="3587" max="3587" width="11.54296875" style="197" customWidth="1"/>
    <col min="3588" max="3588" width="13.54296875" style="197" customWidth="1"/>
    <col min="3589" max="3589" width="11.54296875" style="197" customWidth="1"/>
    <col min="3590" max="3590" width="11.6328125" style="197" customWidth="1"/>
    <col min="3591" max="3591" width="11" style="197" customWidth="1"/>
    <col min="3592" max="3592" width="10.26953125" style="197" customWidth="1"/>
    <col min="3593" max="3593" width="11.81640625" style="197" customWidth="1"/>
    <col min="3594" max="3594" width="16.81640625" style="197" customWidth="1"/>
    <col min="3595" max="3595" width="10.453125" style="197" customWidth="1"/>
    <col min="3596" max="3597" width="10.36328125" style="197" customWidth="1"/>
    <col min="3598" max="3598" width="9.7265625" style="197" customWidth="1"/>
    <col min="3599" max="3600" width="0" style="197" hidden="1" customWidth="1"/>
    <col min="3601" max="3840" width="8.08984375" style="197"/>
    <col min="3841" max="3841" width="4.54296875" style="197" customWidth="1"/>
    <col min="3842" max="3842" width="33.453125" style="197" customWidth="1"/>
    <col min="3843" max="3843" width="11.54296875" style="197" customWidth="1"/>
    <col min="3844" max="3844" width="13.54296875" style="197" customWidth="1"/>
    <col min="3845" max="3845" width="11.54296875" style="197" customWidth="1"/>
    <col min="3846" max="3846" width="11.6328125" style="197" customWidth="1"/>
    <col min="3847" max="3847" width="11" style="197" customWidth="1"/>
    <col min="3848" max="3848" width="10.26953125" style="197" customWidth="1"/>
    <col min="3849" max="3849" width="11.81640625" style="197" customWidth="1"/>
    <col min="3850" max="3850" width="16.81640625" style="197" customWidth="1"/>
    <col min="3851" max="3851" width="10.453125" style="197" customWidth="1"/>
    <col min="3852" max="3853" width="10.36328125" style="197" customWidth="1"/>
    <col min="3854" max="3854" width="9.7265625" style="197" customWidth="1"/>
    <col min="3855" max="3856" width="0" style="197" hidden="1" customWidth="1"/>
    <col min="3857" max="4096" width="8.08984375" style="197"/>
    <col min="4097" max="4097" width="4.54296875" style="197" customWidth="1"/>
    <col min="4098" max="4098" width="33.453125" style="197" customWidth="1"/>
    <col min="4099" max="4099" width="11.54296875" style="197" customWidth="1"/>
    <col min="4100" max="4100" width="13.54296875" style="197" customWidth="1"/>
    <col min="4101" max="4101" width="11.54296875" style="197" customWidth="1"/>
    <col min="4102" max="4102" width="11.6328125" style="197" customWidth="1"/>
    <col min="4103" max="4103" width="11" style="197" customWidth="1"/>
    <col min="4104" max="4104" width="10.26953125" style="197" customWidth="1"/>
    <col min="4105" max="4105" width="11.81640625" style="197" customWidth="1"/>
    <col min="4106" max="4106" width="16.81640625" style="197" customWidth="1"/>
    <col min="4107" max="4107" width="10.453125" style="197" customWidth="1"/>
    <col min="4108" max="4109" width="10.36328125" style="197" customWidth="1"/>
    <col min="4110" max="4110" width="9.7265625" style="197" customWidth="1"/>
    <col min="4111" max="4112" width="0" style="197" hidden="1" customWidth="1"/>
    <col min="4113" max="4352" width="8.08984375" style="197"/>
    <col min="4353" max="4353" width="4.54296875" style="197" customWidth="1"/>
    <col min="4354" max="4354" width="33.453125" style="197" customWidth="1"/>
    <col min="4355" max="4355" width="11.54296875" style="197" customWidth="1"/>
    <col min="4356" max="4356" width="13.54296875" style="197" customWidth="1"/>
    <col min="4357" max="4357" width="11.54296875" style="197" customWidth="1"/>
    <col min="4358" max="4358" width="11.6328125" style="197" customWidth="1"/>
    <col min="4359" max="4359" width="11" style="197" customWidth="1"/>
    <col min="4360" max="4360" width="10.26953125" style="197" customWidth="1"/>
    <col min="4361" max="4361" width="11.81640625" style="197" customWidth="1"/>
    <col min="4362" max="4362" width="16.81640625" style="197" customWidth="1"/>
    <col min="4363" max="4363" width="10.453125" style="197" customWidth="1"/>
    <col min="4364" max="4365" width="10.36328125" style="197" customWidth="1"/>
    <col min="4366" max="4366" width="9.7265625" style="197" customWidth="1"/>
    <col min="4367" max="4368" width="0" style="197" hidden="1" customWidth="1"/>
    <col min="4369" max="4608" width="8.08984375" style="197"/>
    <col min="4609" max="4609" width="4.54296875" style="197" customWidth="1"/>
    <col min="4610" max="4610" width="33.453125" style="197" customWidth="1"/>
    <col min="4611" max="4611" width="11.54296875" style="197" customWidth="1"/>
    <col min="4612" max="4612" width="13.54296875" style="197" customWidth="1"/>
    <col min="4613" max="4613" width="11.54296875" style="197" customWidth="1"/>
    <col min="4614" max="4614" width="11.6328125" style="197" customWidth="1"/>
    <col min="4615" max="4615" width="11" style="197" customWidth="1"/>
    <col min="4616" max="4616" width="10.26953125" style="197" customWidth="1"/>
    <col min="4617" max="4617" width="11.81640625" style="197" customWidth="1"/>
    <col min="4618" max="4618" width="16.81640625" style="197" customWidth="1"/>
    <col min="4619" max="4619" width="10.453125" style="197" customWidth="1"/>
    <col min="4620" max="4621" width="10.36328125" style="197" customWidth="1"/>
    <col min="4622" max="4622" width="9.7265625" style="197" customWidth="1"/>
    <col min="4623" max="4624" width="0" style="197" hidden="1" customWidth="1"/>
    <col min="4625" max="4864" width="8.08984375" style="197"/>
    <col min="4865" max="4865" width="4.54296875" style="197" customWidth="1"/>
    <col min="4866" max="4866" width="33.453125" style="197" customWidth="1"/>
    <col min="4867" max="4867" width="11.54296875" style="197" customWidth="1"/>
    <col min="4868" max="4868" width="13.54296875" style="197" customWidth="1"/>
    <col min="4869" max="4869" width="11.54296875" style="197" customWidth="1"/>
    <col min="4870" max="4870" width="11.6328125" style="197" customWidth="1"/>
    <col min="4871" max="4871" width="11" style="197" customWidth="1"/>
    <col min="4872" max="4872" width="10.26953125" style="197" customWidth="1"/>
    <col min="4873" max="4873" width="11.81640625" style="197" customWidth="1"/>
    <col min="4874" max="4874" width="16.81640625" style="197" customWidth="1"/>
    <col min="4875" max="4875" width="10.453125" style="197" customWidth="1"/>
    <col min="4876" max="4877" width="10.36328125" style="197" customWidth="1"/>
    <col min="4878" max="4878" width="9.7265625" style="197" customWidth="1"/>
    <col min="4879" max="4880" width="0" style="197" hidden="1" customWidth="1"/>
    <col min="4881" max="5120" width="8.08984375" style="197"/>
    <col min="5121" max="5121" width="4.54296875" style="197" customWidth="1"/>
    <col min="5122" max="5122" width="33.453125" style="197" customWidth="1"/>
    <col min="5123" max="5123" width="11.54296875" style="197" customWidth="1"/>
    <col min="5124" max="5124" width="13.54296875" style="197" customWidth="1"/>
    <col min="5125" max="5125" width="11.54296875" style="197" customWidth="1"/>
    <col min="5126" max="5126" width="11.6328125" style="197" customWidth="1"/>
    <col min="5127" max="5127" width="11" style="197" customWidth="1"/>
    <col min="5128" max="5128" width="10.26953125" style="197" customWidth="1"/>
    <col min="5129" max="5129" width="11.81640625" style="197" customWidth="1"/>
    <col min="5130" max="5130" width="16.81640625" style="197" customWidth="1"/>
    <col min="5131" max="5131" width="10.453125" style="197" customWidth="1"/>
    <col min="5132" max="5133" width="10.36328125" style="197" customWidth="1"/>
    <col min="5134" max="5134" width="9.7265625" style="197" customWidth="1"/>
    <col min="5135" max="5136" width="0" style="197" hidden="1" customWidth="1"/>
    <col min="5137" max="5376" width="8.08984375" style="197"/>
    <col min="5377" max="5377" width="4.54296875" style="197" customWidth="1"/>
    <col min="5378" max="5378" width="33.453125" style="197" customWidth="1"/>
    <col min="5379" max="5379" width="11.54296875" style="197" customWidth="1"/>
    <col min="5380" max="5380" width="13.54296875" style="197" customWidth="1"/>
    <col min="5381" max="5381" width="11.54296875" style="197" customWidth="1"/>
    <col min="5382" max="5382" width="11.6328125" style="197" customWidth="1"/>
    <col min="5383" max="5383" width="11" style="197" customWidth="1"/>
    <col min="5384" max="5384" width="10.26953125" style="197" customWidth="1"/>
    <col min="5385" max="5385" width="11.81640625" style="197" customWidth="1"/>
    <col min="5386" max="5386" width="16.81640625" style="197" customWidth="1"/>
    <col min="5387" max="5387" width="10.453125" style="197" customWidth="1"/>
    <col min="5388" max="5389" width="10.36328125" style="197" customWidth="1"/>
    <col min="5390" max="5390" width="9.7265625" style="197" customWidth="1"/>
    <col min="5391" max="5392" width="0" style="197" hidden="1" customWidth="1"/>
    <col min="5393" max="5632" width="8.08984375" style="197"/>
    <col min="5633" max="5633" width="4.54296875" style="197" customWidth="1"/>
    <col min="5634" max="5634" width="33.453125" style="197" customWidth="1"/>
    <col min="5635" max="5635" width="11.54296875" style="197" customWidth="1"/>
    <col min="5636" max="5636" width="13.54296875" style="197" customWidth="1"/>
    <col min="5637" max="5637" width="11.54296875" style="197" customWidth="1"/>
    <col min="5638" max="5638" width="11.6328125" style="197" customWidth="1"/>
    <col min="5639" max="5639" width="11" style="197" customWidth="1"/>
    <col min="5640" max="5640" width="10.26953125" style="197" customWidth="1"/>
    <col min="5641" max="5641" width="11.81640625" style="197" customWidth="1"/>
    <col min="5642" max="5642" width="16.81640625" style="197" customWidth="1"/>
    <col min="5643" max="5643" width="10.453125" style="197" customWidth="1"/>
    <col min="5644" max="5645" width="10.36328125" style="197" customWidth="1"/>
    <col min="5646" max="5646" width="9.7265625" style="197" customWidth="1"/>
    <col min="5647" max="5648" width="0" style="197" hidden="1" customWidth="1"/>
    <col min="5649" max="5888" width="8.08984375" style="197"/>
    <col min="5889" max="5889" width="4.54296875" style="197" customWidth="1"/>
    <col min="5890" max="5890" width="33.453125" style="197" customWidth="1"/>
    <col min="5891" max="5891" width="11.54296875" style="197" customWidth="1"/>
    <col min="5892" max="5892" width="13.54296875" style="197" customWidth="1"/>
    <col min="5893" max="5893" width="11.54296875" style="197" customWidth="1"/>
    <col min="5894" max="5894" width="11.6328125" style="197" customWidth="1"/>
    <col min="5895" max="5895" width="11" style="197" customWidth="1"/>
    <col min="5896" max="5896" width="10.26953125" style="197" customWidth="1"/>
    <col min="5897" max="5897" width="11.81640625" style="197" customWidth="1"/>
    <col min="5898" max="5898" width="16.81640625" style="197" customWidth="1"/>
    <col min="5899" max="5899" width="10.453125" style="197" customWidth="1"/>
    <col min="5900" max="5901" width="10.36328125" style="197" customWidth="1"/>
    <col min="5902" max="5902" width="9.7265625" style="197" customWidth="1"/>
    <col min="5903" max="5904" width="0" style="197" hidden="1" customWidth="1"/>
    <col min="5905" max="6144" width="8.08984375" style="197"/>
    <col min="6145" max="6145" width="4.54296875" style="197" customWidth="1"/>
    <col min="6146" max="6146" width="33.453125" style="197" customWidth="1"/>
    <col min="6147" max="6147" width="11.54296875" style="197" customWidth="1"/>
    <col min="6148" max="6148" width="13.54296875" style="197" customWidth="1"/>
    <col min="6149" max="6149" width="11.54296875" style="197" customWidth="1"/>
    <col min="6150" max="6150" width="11.6328125" style="197" customWidth="1"/>
    <col min="6151" max="6151" width="11" style="197" customWidth="1"/>
    <col min="6152" max="6152" width="10.26953125" style="197" customWidth="1"/>
    <col min="6153" max="6153" width="11.81640625" style="197" customWidth="1"/>
    <col min="6154" max="6154" width="16.81640625" style="197" customWidth="1"/>
    <col min="6155" max="6155" width="10.453125" style="197" customWidth="1"/>
    <col min="6156" max="6157" width="10.36328125" style="197" customWidth="1"/>
    <col min="6158" max="6158" width="9.7265625" style="197" customWidth="1"/>
    <col min="6159" max="6160" width="0" style="197" hidden="1" customWidth="1"/>
    <col min="6161" max="6400" width="8.08984375" style="197"/>
    <col min="6401" max="6401" width="4.54296875" style="197" customWidth="1"/>
    <col min="6402" max="6402" width="33.453125" style="197" customWidth="1"/>
    <col min="6403" max="6403" width="11.54296875" style="197" customWidth="1"/>
    <col min="6404" max="6404" width="13.54296875" style="197" customWidth="1"/>
    <col min="6405" max="6405" width="11.54296875" style="197" customWidth="1"/>
    <col min="6406" max="6406" width="11.6328125" style="197" customWidth="1"/>
    <col min="6407" max="6407" width="11" style="197" customWidth="1"/>
    <col min="6408" max="6408" width="10.26953125" style="197" customWidth="1"/>
    <col min="6409" max="6409" width="11.81640625" style="197" customWidth="1"/>
    <col min="6410" max="6410" width="16.81640625" style="197" customWidth="1"/>
    <col min="6411" max="6411" width="10.453125" style="197" customWidth="1"/>
    <col min="6412" max="6413" width="10.36328125" style="197" customWidth="1"/>
    <col min="6414" max="6414" width="9.7265625" style="197" customWidth="1"/>
    <col min="6415" max="6416" width="0" style="197" hidden="1" customWidth="1"/>
    <col min="6417" max="6656" width="8.08984375" style="197"/>
    <col min="6657" max="6657" width="4.54296875" style="197" customWidth="1"/>
    <col min="6658" max="6658" width="33.453125" style="197" customWidth="1"/>
    <col min="6659" max="6659" width="11.54296875" style="197" customWidth="1"/>
    <col min="6660" max="6660" width="13.54296875" style="197" customWidth="1"/>
    <col min="6661" max="6661" width="11.54296875" style="197" customWidth="1"/>
    <col min="6662" max="6662" width="11.6328125" style="197" customWidth="1"/>
    <col min="6663" max="6663" width="11" style="197" customWidth="1"/>
    <col min="6664" max="6664" width="10.26953125" style="197" customWidth="1"/>
    <col min="6665" max="6665" width="11.81640625" style="197" customWidth="1"/>
    <col min="6666" max="6666" width="16.81640625" style="197" customWidth="1"/>
    <col min="6667" max="6667" width="10.453125" style="197" customWidth="1"/>
    <col min="6668" max="6669" width="10.36328125" style="197" customWidth="1"/>
    <col min="6670" max="6670" width="9.7265625" style="197" customWidth="1"/>
    <col min="6671" max="6672" width="0" style="197" hidden="1" customWidth="1"/>
    <col min="6673" max="6912" width="8.08984375" style="197"/>
    <col min="6913" max="6913" width="4.54296875" style="197" customWidth="1"/>
    <col min="6914" max="6914" width="33.453125" style="197" customWidth="1"/>
    <col min="6915" max="6915" width="11.54296875" style="197" customWidth="1"/>
    <col min="6916" max="6916" width="13.54296875" style="197" customWidth="1"/>
    <col min="6917" max="6917" width="11.54296875" style="197" customWidth="1"/>
    <col min="6918" max="6918" width="11.6328125" style="197" customWidth="1"/>
    <col min="6919" max="6919" width="11" style="197" customWidth="1"/>
    <col min="6920" max="6920" width="10.26953125" style="197" customWidth="1"/>
    <col min="6921" max="6921" width="11.81640625" style="197" customWidth="1"/>
    <col min="6922" max="6922" width="16.81640625" style="197" customWidth="1"/>
    <col min="6923" max="6923" width="10.453125" style="197" customWidth="1"/>
    <col min="6924" max="6925" width="10.36328125" style="197" customWidth="1"/>
    <col min="6926" max="6926" width="9.7265625" style="197" customWidth="1"/>
    <col min="6927" max="6928" width="0" style="197" hidden="1" customWidth="1"/>
    <col min="6929" max="7168" width="8.08984375" style="197"/>
    <col min="7169" max="7169" width="4.54296875" style="197" customWidth="1"/>
    <col min="7170" max="7170" width="33.453125" style="197" customWidth="1"/>
    <col min="7171" max="7171" width="11.54296875" style="197" customWidth="1"/>
    <col min="7172" max="7172" width="13.54296875" style="197" customWidth="1"/>
    <col min="7173" max="7173" width="11.54296875" style="197" customWidth="1"/>
    <col min="7174" max="7174" width="11.6328125" style="197" customWidth="1"/>
    <col min="7175" max="7175" width="11" style="197" customWidth="1"/>
    <col min="7176" max="7176" width="10.26953125" style="197" customWidth="1"/>
    <col min="7177" max="7177" width="11.81640625" style="197" customWidth="1"/>
    <col min="7178" max="7178" width="16.81640625" style="197" customWidth="1"/>
    <col min="7179" max="7179" width="10.453125" style="197" customWidth="1"/>
    <col min="7180" max="7181" width="10.36328125" style="197" customWidth="1"/>
    <col min="7182" max="7182" width="9.7265625" style="197" customWidth="1"/>
    <col min="7183" max="7184" width="0" style="197" hidden="1" customWidth="1"/>
    <col min="7185" max="7424" width="8.08984375" style="197"/>
    <col min="7425" max="7425" width="4.54296875" style="197" customWidth="1"/>
    <col min="7426" max="7426" width="33.453125" style="197" customWidth="1"/>
    <col min="7427" max="7427" width="11.54296875" style="197" customWidth="1"/>
    <col min="7428" max="7428" width="13.54296875" style="197" customWidth="1"/>
    <col min="7429" max="7429" width="11.54296875" style="197" customWidth="1"/>
    <col min="7430" max="7430" width="11.6328125" style="197" customWidth="1"/>
    <col min="7431" max="7431" width="11" style="197" customWidth="1"/>
    <col min="7432" max="7432" width="10.26953125" style="197" customWidth="1"/>
    <col min="7433" max="7433" width="11.81640625" style="197" customWidth="1"/>
    <col min="7434" max="7434" width="16.81640625" style="197" customWidth="1"/>
    <col min="7435" max="7435" width="10.453125" style="197" customWidth="1"/>
    <col min="7436" max="7437" width="10.36328125" style="197" customWidth="1"/>
    <col min="7438" max="7438" width="9.7265625" style="197" customWidth="1"/>
    <col min="7439" max="7440" width="0" style="197" hidden="1" customWidth="1"/>
    <col min="7441" max="7680" width="8.08984375" style="197"/>
    <col min="7681" max="7681" width="4.54296875" style="197" customWidth="1"/>
    <col min="7682" max="7682" width="33.453125" style="197" customWidth="1"/>
    <col min="7683" max="7683" width="11.54296875" style="197" customWidth="1"/>
    <col min="7684" max="7684" width="13.54296875" style="197" customWidth="1"/>
    <col min="7685" max="7685" width="11.54296875" style="197" customWidth="1"/>
    <col min="7686" max="7686" width="11.6328125" style="197" customWidth="1"/>
    <col min="7687" max="7687" width="11" style="197" customWidth="1"/>
    <col min="7688" max="7688" width="10.26953125" style="197" customWidth="1"/>
    <col min="7689" max="7689" width="11.81640625" style="197" customWidth="1"/>
    <col min="7690" max="7690" width="16.81640625" style="197" customWidth="1"/>
    <col min="7691" max="7691" width="10.453125" style="197" customWidth="1"/>
    <col min="7692" max="7693" width="10.36328125" style="197" customWidth="1"/>
    <col min="7694" max="7694" width="9.7265625" style="197" customWidth="1"/>
    <col min="7695" max="7696" width="0" style="197" hidden="1" customWidth="1"/>
    <col min="7697" max="7936" width="8.08984375" style="197"/>
    <col min="7937" max="7937" width="4.54296875" style="197" customWidth="1"/>
    <col min="7938" max="7938" width="33.453125" style="197" customWidth="1"/>
    <col min="7939" max="7939" width="11.54296875" style="197" customWidth="1"/>
    <col min="7940" max="7940" width="13.54296875" style="197" customWidth="1"/>
    <col min="7941" max="7941" width="11.54296875" style="197" customWidth="1"/>
    <col min="7942" max="7942" width="11.6328125" style="197" customWidth="1"/>
    <col min="7943" max="7943" width="11" style="197" customWidth="1"/>
    <col min="7944" max="7944" width="10.26953125" style="197" customWidth="1"/>
    <col min="7945" max="7945" width="11.81640625" style="197" customWidth="1"/>
    <col min="7946" max="7946" width="16.81640625" style="197" customWidth="1"/>
    <col min="7947" max="7947" width="10.453125" style="197" customWidth="1"/>
    <col min="7948" max="7949" width="10.36328125" style="197" customWidth="1"/>
    <col min="7950" max="7950" width="9.7265625" style="197" customWidth="1"/>
    <col min="7951" max="7952" width="0" style="197" hidden="1" customWidth="1"/>
    <col min="7953" max="8192" width="8.08984375" style="197"/>
    <col min="8193" max="8193" width="4.54296875" style="197" customWidth="1"/>
    <col min="8194" max="8194" width="33.453125" style="197" customWidth="1"/>
    <col min="8195" max="8195" width="11.54296875" style="197" customWidth="1"/>
    <col min="8196" max="8196" width="13.54296875" style="197" customWidth="1"/>
    <col min="8197" max="8197" width="11.54296875" style="197" customWidth="1"/>
    <col min="8198" max="8198" width="11.6328125" style="197" customWidth="1"/>
    <col min="8199" max="8199" width="11" style="197" customWidth="1"/>
    <col min="8200" max="8200" width="10.26953125" style="197" customWidth="1"/>
    <col min="8201" max="8201" width="11.81640625" style="197" customWidth="1"/>
    <col min="8202" max="8202" width="16.81640625" style="197" customWidth="1"/>
    <col min="8203" max="8203" width="10.453125" style="197" customWidth="1"/>
    <col min="8204" max="8205" width="10.36328125" style="197" customWidth="1"/>
    <col min="8206" max="8206" width="9.7265625" style="197" customWidth="1"/>
    <col min="8207" max="8208" width="0" style="197" hidden="1" customWidth="1"/>
    <col min="8209" max="8448" width="8.08984375" style="197"/>
    <col min="8449" max="8449" width="4.54296875" style="197" customWidth="1"/>
    <col min="8450" max="8450" width="33.453125" style="197" customWidth="1"/>
    <col min="8451" max="8451" width="11.54296875" style="197" customWidth="1"/>
    <col min="8452" max="8452" width="13.54296875" style="197" customWidth="1"/>
    <col min="8453" max="8453" width="11.54296875" style="197" customWidth="1"/>
    <col min="8454" max="8454" width="11.6328125" style="197" customWidth="1"/>
    <col min="8455" max="8455" width="11" style="197" customWidth="1"/>
    <col min="8456" max="8456" width="10.26953125" style="197" customWidth="1"/>
    <col min="8457" max="8457" width="11.81640625" style="197" customWidth="1"/>
    <col min="8458" max="8458" width="16.81640625" style="197" customWidth="1"/>
    <col min="8459" max="8459" width="10.453125" style="197" customWidth="1"/>
    <col min="8460" max="8461" width="10.36328125" style="197" customWidth="1"/>
    <col min="8462" max="8462" width="9.7265625" style="197" customWidth="1"/>
    <col min="8463" max="8464" width="0" style="197" hidden="1" customWidth="1"/>
    <col min="8465" max="8704" width="8.08984375" style="197"/>
    <col min="8705" max="8705" width="4.54296875" style="197" customWidth="1"/>
    <col min="8706" max="8706" width="33.453125" style="197" customWidth="1"/>
    <col min="8707" max="8707" width="11.54296875" style="197" customWidth="1"/>
    <col min="8708" max="8708" width="13.54296875" style="197" customWidth="1"/>
    <col min="8709" max="8709" width="11.54296875" style="197" customWidth="1"/>
    <col min="8710" max="8710" width="11.6328125" style="197" customWidth="1"/>
    <col min="8711" max="8711" width="11" style="197" customWidth="1"/>
    <col min="8712" max="8712" width="10.26953125" style="197" customWidth="1"/>
    <col min="8713" max="8713" width="11.81640625" style="197" customWidth="1"/>
    <col min="8714" max="8714" width="16.81640625" style="197" customWidth="1"/>
    <col min="8715" max="8715" width="10.453125" style="197" customWidth="1"/>
    <col min="8716" max="8717" width="10.36328125" style="197" customWidth="1"/>
    <col min="8718" max="8718" width="9.7265625" style="197" customWidth="1"/>
    <col min="8719" max="8720" width="0" style="197" hidden="1" customWidth="1"/>
    <col min="8721" max="8960" width="8.08984375" style="197"/>
    <col min="8961" max="8961" width="4.54296875" style="197" customWidth="1"/>
    <col min="8962" max="8962" width="33.453125" style="197" customWidth="1"/>
    <col min="8963" max="8963" width="11.54296875" style="197" customWidth="1"/>
    <col min="8964" max="8964" width="13.54296875" style="197" customWidth="1"/>
    <col min="8965" max="8965" width="11.54296875" style="197" customWidth="1"/>
    <col min="8966" max="8966" width="11.6328125" style="197" customWidth="1"/>
    <col min="8967" max="8967" width="11" style="197" customWidth="1"/>
    <col min="8968" max="8968" width="10.26953125" style="197" customWidth="1"/>
    <col min="8969" max="8969" width="11.81640625" style="197" customWidth="1"/>
    <col min="8970" max="8970" width="16.81640625" style="197" customWidth="1"/>
    <col min="8971" max="8971" width="10.453125" style="197" customWidth="1"/>
    <col min="8972" max="8973" width="10.36328125" style="197" customWidth="1"/>
    <col min="8974" max="8974" width="9.7265625" style="197" customWidth="1"/>
    <col min="8975" max="8976" width="0" style="197" hidden="1" customWidth="1"/>
    <col min="8977" max="9216" width="8.08984375" style="197"/>
    <col min="9217" max="9217" width="4.54296875" style="197" customWidth="1"/>
    <col min="9218" max="9218" width="33.453125" style="197" customWidth="1"/>
    <col min="9219" max="9219" width="11.54296875" style="197" customWidth="1"/>
    <col min="9220" max="9220" width="13.54296875" style="197" customWidth="1"/>
    <col min="9221" max="9221" width="11.54296875" style="197" customWidth="1"/>
    <col min="9222" max="9222" width="11.6328125" style="197" customWidth="1"/>
    <col min="9223" max="9223" width="11" style="197" customWidth="1"/>
    <col min="9224" max="9224" width="10.26953125" style="197" customWidth="1"/>
    <col min="9225" max="9225" width="11.81640625" style="197" customWidth="1"/>
    <col min="9226" max="9226" width="16.81640625" style="197" customWidth="1"/>
    <col min="9227" max="9227" width="10.453125" style="197" customWidth="1"/>
    <col min="9228" max="9229" width="10.36328125" style="197" customWidth="1"/>
    <col min="9230" max="9230" width="9.7265625" style="197" customWidth="1"/>
    <col min="9231" max="9232" width="0" style="197" hidden="1" customWidth="1"/>
    <col min="9233" max="9472" width="8.08984375" style="197"/>
    <col min="9473" max="9473" width="4.54296875" style="197" customWidth="1"/>
    <col min="9474" max="9474" width="33.453125" style="197" customWidth="1"/>
    <col min="9475" max="9475" width="11.54296875" style="197" customWidth="1"/>
    <col min="9476" max="9476" width="13.54296875" style="197" customWidth="1"/>
    <col min="9477" max="9477" width="11.54296875" style="197" customWidth="1"/>
    <col min="9478" max="9478" width="11.6328125" style="197" customWidth="1"/>
    <col min="9479" max="9479" width="11" style="197" customWidth="1"/>
    <col min="9480" max="9480" width="10.26953125" style="197" customWidth="1"/>
    <col min="9481" max="9481" width="11.81640625" style="197" customWidth="1"/>
    <col min="9482" max="9482" width="16.81640625" style="197" customWidth="1"/>
    <col min="9483" max="9483" width="10.453125" style="197" customWidth="1"/>
    <col min="9484" max="9485" width="10.36328125" style="197" customWidth="1"/>
    <col min="9486" max="9486" width="9.7265625" style="197" customWidth="1"/>
    <col min="9487" max="9488" width="0" style="197" hidden="1" customWidth="1"/>
    <col min="9489" max="9728" width="8.08984375" style="197"/>
    <col min="9729" max="9729" width="4.54296875" style="197" customWidth="1"/>
    <col min="9730" max="9730" width="33.453125" style="197" customWidth="1"/>
    <col min="9731" max="9731" width="11.54296875" style="197" customWidth="1"/>
    <col min="9732" max="9732" width="13.54296875" style="197" customWidth="1"/>
    <col min="9733" max="9733" width="11.54296875" style="197" customWidth="1"/>
    <col min="9734" max="9734" width="11.6328125" style="197" customWidth="1"/>
    <col min="9735" max="9735" width="11" style="197" customWidth="1"/>
    <col min="9736" max="9736" width="10.26953125" style="197" customWidth="1"/>
    <col min="9737" max="9737" width="11.81640625" style="197" customWidth="1"/>
    <col min="9738" max="9738" width="16.81640625" style="197" customWidth="1"/>
    <col min="9739" max="9739" width="10.453125" style="197" customWidth="1"/>
    <col min="9740" max="9741" width="10.36328125" style="197" customWidth="1"/>
    <col min="9742" max="9742" width="9.7265625" style="197" customWidth="1"/>
    <col min="9743" max="9744" width="0" style="197" hidden="1" customWidth="1"/>
    <col min="9745" max="9984" width="8.08984375" style="197"/>
    <col min="9985" max="9985" width="4.54296875" style="197" customWidth="1"/>
    <col min="9986" max="9986" width="33.453125" style="197" customWidth="1"/>
    <col min="9987" max="9987" width="11.54296875" style="197" customWidth="1"/>
    <col min="9988" max="9988" width="13.54296875" style="197" customWidth="1"/>
    <col min="9989" max="9989" width="11.54296875" style="197" customWidth="1"/>
    <col min="9990" max="9990" width="11.6328125" style="197" customWidth="1"/>
    <col min="9991" max="9991" width="11" style="197" customWidth="1"/>
    <col min="9992" max="9992" width="10.26953125" style="197" customWidth="1"/>
    <col min="9993" max="9993" width="11.81640625" style="197" customWidth="1"/>
    <col min="9994" max="9994" width="16.81640625" style="197" customWidth="1"/>
    <col min="9995" max="9995" width="10.453125" style="197" customWidth="1"/>
    <col min="9996" max="9997" width="10.36328125" style="197" customWidth="1"/>
    <col min="9998" max="9998" width="9.7265625" style="197" customWidth="1"/>
    <col min="9999" max="10000" width="0" style="197" hidden="1" customWidth="1"/>
    <col min="10001" max="10240" width="8.08984375" style="197"/>
    <col min="10241" max="10241" width="4.54296875" style="197" customWidth="1"/>
    <col min="10242" max="10242" width="33.453125" style="197" customWidth="1"/>
    <col min="10243" max="10243" width="11.54296875" style="197" customWidth="1"/>
    <col min="10244" max="10244" width="13.54296875" style="197" customWidth="1"/>
    <col min="10245" max="10245" width="11.54296875" style="197" customWidth="1"/>
    <col min="10246" max="10246" width="11.6328125" style="197" customWidth="1"/>
    <col min="10247" max="10247" width="11" style="197" customWidth="1"/>
    <col min="10248" max="10248" width="10.26953125" style="197" customWidth="1"/>
    <col min="10249" max="10249" width="11.81640625" style="197" customWidth="1"/>
    <col min="10250" max="10250" width="16.81640625" style="197" customWidth="1"/>
    <col min="10251" max="10251" width="10.453125" style="197" customWidth="1"/>
    <col min="10252" max="10253" width="10.36328125" style="197" customWidth="1"/>
    <col min="10254" max="10254" width="9.7265625" style="197" customWidth="1"/>
    <col min="10255" max="10256" width="0" style="197" hidden="1" customWidth="1"/>
    <col min="10257" max="10496" width="8.08984375" style="197"/>
    <col min="10497" max="10497" width="4.54296875" style="197" customWidth="1"/>
    <col min="10498" max="10498" width="33.453125" style="197" customWidth="1"/>
    <col min="10499" max="10499" width="11.54296875" style="197" customWidth="1"/>
    <col min="10500" max="10500" width="13.54296875" style="197" customWidth="1"/>
    <col min="10501" max="10501" width="11.54296875" style="197" customWidth="1"/>
    <col min="10502" max="10502" width="11.6328125" style="197" customWidth="1"/>
    <col min="10503" max="10503" width="11" style="197" customWidth="1"/>
    <col min="10504" max="10504" width="10.26953125" style="197" customWidth="1"/>
    <col min="10505" max="10505" width="11.81640625" style="197" customWidth="1"/>
    <col min="10506" max="10506" width="16.81640625" style="197" customWidth="1"/>
    <col min="10507" max="10507" width="10.453125" style="197" customWidth="1"/>
    <col min="10508" max="10509" width="10.36328125" style="197" customWidth="1"/>
    <col min="10510" max="10510" width="9.7265625" style="197" customWidth="1"/>
    <col min="10511" max="10512" width="0" style="197" hidden="1" customWidth="1"/>
    <col min="10513" max="10752" width="8.08984375" style="197"/>
    <col min="10753" max="10753" width="4.54296875" style="197" customWidth="1"/>
    <col min="10754" max="10754" width="33.453125" style="197" customWidth="1"/>
    <col min="10755" max="10755" width="11.54296875" style="197" customWidth="1"/>
    <col min="10756" max="10756" width="13.54296875" style="197" customWidth="1"/>
    <col min="10757" max="10757" width="11.54296875" style="197" customWidth="1"/>
    <col min="10758" max="10758" width="11.6328125" style="197" customWidth="1"/>
    <col min="10759" max="10759" width="11" style="197" customWidth="1"/>
    <col min="10760" max="10760" width="10.26953125" style="197" customWidth="1"/>
    <col min="10761" max="10761" width="11.81640625" style="197" customWidth="1"/>
    <col min="10762" max="10762" width="16.81640625" style="197" customWidth="1"/>
    <col min="10763" max="10763" width="10.453125" style="197" customWidth="1"/>
    <col min="10764" max="10765" width="10.36328125" style="197" customWidth="1"/>
    <col min="10766" max="10766" width="9.7265625" style="197" customWidth="1"/>
    <col min="10767" max="10768" width="0" style="197" hidden="1" customWidth="1"/>
    <col min="10769" max="11008" width="8.08984375" style="197"/>
    <col min="11009" max="11009" width="4.54296875" style="197" customWidth="1"/>
    <col min="11010" max="11010" width="33.453125" style="197" customWidth="1"/>
    <col min="11011" max="11011" width="11.54296875" style="197" customWidth="1"/>
    <col min="11012" max="11012" width="13.54296875" style="197" customWidth="1"/>
    <col min="11013" max="11013" width="11.54296875" style="197" customWidth="1"/>
    <col min="11014" max="11014" width="11.6328125" style="197" customWidth="1"/>
    <col min="11015" max="11015" width="11" style="197" customWidth="1"/>
    <col min="11016" max="11016" width="10.26953125" style="197" customWidth="1"/>
    <col min="11017" max="11017" width="11.81640625" style="197" customWidth="1"/>
    <col min="11018" max="11018" width="16.81640625" style="197" customWidth="1"/>
    <col min="11019" max="11019" width="10.453125" style="197" customWidth="1"/>
    <col min="11020" max="11021" width="10.36328125" style="197" customWidth="1"/>
    <col min="11022" max="11022" width="9.7265625" style="197" customWidth="1"/>
    <col min="11023" max="11024" width="0" style="197" hidden="1" customWidth="1"/>
    <col min="11025" max="11264" width="8.08984375" style="197"/>
    <col min="11265" max="11265" width="4.54296875" style="197" customWidth="1"/>
    <col min="11266" max="11266" width="33.453125" style="197" customWidth="1"/>
    <col min="11267" max="11267" width="11.54296875" style="197" customWidth="1"/>
    <col min="11268" max="11268" width="13.54296875" style="197" customWidth="1"/>
    <col min="11269" max="11269" width="11.54296875" style="197" customWidth="1"/>
    <col min="11270" max="11270" width="11.6328125" style="197" customWidth="1"/>
    <col min="11271" max="11271" width="11" style="197" customWidth="1"/>
    <col min="11272" max="11272" width="10.26953125" style="197" customWidth="1"/>
    <col min="11273" max="11273" width="11.81640625" style="197" customWidth="1"/>
    <col min="11274" max="11274" width="16.81640625" style="197" customWidth="1"/>
    <col min="11275" max="11275" width="10.453125" style="197" customWidth="1"/>
    <col min="11276" max="11277" width="10.36328125" style="197" customWidth="1"/>
    <col min="11278" max="11278" width="9.7265625" style="197" customWidth="1"/>
    <col min="11279" max="11280" width="0" style="197" hidden="1" customWidth="1"/>
    <col min="11281" max="11520" width="8.08984375" style="197"/>
    <col min="11521" max="11521" width="4.54296875" style="197" customWidth="1"/>
    <col min="11522" max="11522" width="33.453125" style="197" customWidth="1"/>
    <col min="11523" max="11523" width="11.54296875" style="197" customWidth="1"/>
    <col min="11524" max="11524" width="13.54296875" style="197" customWidth="1"/>
    <col min="11525" max="11525" width="11.54296875" style="197" customWidth="1"/>
    <col min="11526" max="11526" width="11.6328125" style="197" customWidth="1"/>
    <col min="11527" max="11527" width="11" style="197" customWidth="1"/>
    <col min="11528" max="11528" width="10.26953125" style="197" customWidth="1"/>
    <col min="11529" max="11529" width="11.81640625" style="197" customWidth="1"/>
    <col min="11530" max="11530" width="16.81640625" style="197" customWidth="1"/>
    <col min="11531" max="11531" width="10.453125" style="197" customWidth="1"/>
    <col min="11532" max="11533" width="10.36328125" style="197" customWidth="1"/>
    <col min="11534" max="11534" width="9.7265625" style="197" customWidth="1"/>
    <col min="11535" max="11536" width="0" style="197" hidden="1" customWidth="1"/>
    <col min="11537" max="11776" width="8.08984375" style="197"/>
    <col min="11777" max="11777" width="4.54296875" style="197" customWidth="1"/>
    <col min="11778" max="11778" width="33.453125" style="197" customWidth="1"/>
    <col min="11779" max="11779" width="11.54296875" style="197" customWidth="1"/>
    <col min="11780" max="11780" width="13.54296875" style="197" customWidth="1"/>
    <col min="11781" max="11781" width="11.54296875" style="197" customWidth="1"/>
    <col min="11782" max="11782" width="11.6328125" style="197" customWidth="1"/>
    <col min="11783" max="11783" width="11" style="197" customWidth="1"/>
    <col min="11784" max="11784" width="10.26953125" style="197" customWidth="1"/>
    <col min="11785" max="11785" width="11.81640625" style="197" customWidth="1"/>
    <col min="11786" max="11786" width="16.81640625" style="197" customWidth="1"/>
    <col min="11787" max="11787" width="10.453125" style="197" customWidth="1"/>
    <col min="11788" max="11789" width="10.36328125" style="197" customWidth="1"/>
    <col min="11790" max="11790" width="9.7265625" style="197" customWidth="1"/>
    <col min="11791" max="11792" width="0" style="197" hidden="1" customWidth="1"/>
    <col min="11793" max="12032" width="8.08984375" style="197"/>
    <col min="12033" max="12033" width="4.54296875" style="197" customWidth="1"/>
    <col min="12034" max="12034" width="33.453125" style="197" customWidth="1"/>
    <col min="12035" max="12035" width="11.54296875" style="197" customWidth="1"/>
    <col min="12036" max="12036" width="13.54296875" style="197" customWidth="1"/>
    <col min="12037" max="12037" width="11.54296875" style="197" customWidth="1"/>
    <col min="12038" max="12038" width="11.6328125" style="197" customWidth="1"/>
    <col min="12039" max="12039" width="11" style="197" customWidth="1"/>
    <col min="12040" max="12040" width="10.26953125" style="197" customWidth="1"/>
    <col min="12041" max="12041" width="11.81640625" style="197" customWidth="1"/>
    <col min="12042" max="12042" width="16.81640625" style="197" customWidth="1"/>
    <col min="12043" max="12043" width="10.453125" style="197" customWidth="1"/>
    <col min="12044" max="12045" width="10.36328125" style="197" customWidth="1"/>
    <col min="12046" max="12046" width="9.7265625" style="197" customWidth="1"/>
    <col min="12047" max="12048" width="0" style="197" hidden="1" customWidth="1"/>
    <col min="12049" max="12288" width="8.08984375" style="197"/>
    <col min="12289" max="12289" width="4.54296875" style="197" customWidth="1"/>
    <col min="12290" max="12290" width="33.453125" style="197" customWidth="1"/>
    <col min="12291" max="12291" width="11.54296875" style="197" customWidth="1"/>
    <col min="12292" max="12292" width="13.54296875" style="197" customWidth="1"/>
    <col min="12293" max="12293" width="11.54296875" style="197" customWidth="1"/>
    <col min="12294" max="12294" width="11.6328125" style="197" customWidth="1"/>
    <col min="12295" max="12295" width="11" style="197" customWidth="1"/>
    <col min="12296" max="12296" width="10.26953125" style="197" customWidth="1"/>
    <col min="12297" max="12297" width="11.81640625" style="197" customWidth="1"/>
    <col min="12298" max="12298" width="16.81640625" style="197" customWidth="1"/>
    <col min="12299" max="12299" width="10.453125" style="197" customWidth="1"/>
    <col min="12300" max="12301" width="10.36328125" style="197" customWidth="1"/>
    <col min="12302" max="12302" width="9.7265625" style="197" customWidth="1"/>
    <col min="12303" max="12304" width="0" style="197" hidden="1" customWidth="1"/>
    <col min="12305" max="12544" width="8.08984375" style="197"/>
    <col min="12545" max="12545" width="4.54296875" style="197" customWidth="1"/>
    <col min="12546" max="12546" width="33.453125" style="197" customWidth="1"/>
    <col min="12547" max="12547" width="11.54296875" style="197" customWidth="1"/>
    <col min="12548" max="12548" width="13.54296875" style="197" customWidth="1"/>
    <col min="12549" max="12549" width="11.54296875" style="197" customWidth="1"/>
    <col min="12550" max="12550" width="11.6328125" style="197" customWidth="1"/>
    <col min="12551" max="12551" width="11" style="197" customWidth="1"/>
    <col min="12552" max="12552" width="10.26953125" style="197" customWidth="1"/>
    <col min="12553" max="12553" width="11.81640625" style="197" customWidth="1"/>
    <col min="12554" max="12554" width="16.81640625" style="197" customWidth="1"/>
    <col min="12555" max="12555" width="10.453125" style="197" customWidth="1"/>
    <col min="12556" max="12557" width="10.36328125" style="197" customWidth="1"/>
    <col min="12558" max="12558" width="9.7265625" style="197" customWidth="1"/>
    <col min="12559" max="12560" width="0" style="197" hidden="1" customWidth="1"/>
    <col min="12561" max="12800" width="8.08984375" style="197"/>
    <col min="12801" max="12801" width="4.54296875" style="197" customWidth="1"/>
    <col min="12802" max="12802" width="33.453125" style="197" customWidth="1"/>
    <col min="12803" max="12803" width="11.54296875" style="197" customWidth="1"/>
    <col min="12804" max="12804" width="13.54296875" style="197" customWidth="1"/>
    <col min="12805" max="12805" width="11.54296875" style="197" customWidth="1"/>
    <col min="12806" max="12806" width="11.6328125" style="197" customWidth="1"/>
    <col min="12807" max="12807" width="11" style="197" customWidth="1"/>
    <col min="12808" max="12808" width="10.26953125" style="197" customWidth="1"/>
    <col min="12809" max="12809" width="11.81640625" style="197" customWidth="1"/>
    <col min="12810" max="12810" width="16.81640625" style="197" customWidth="1"/>
    <col min="12811" max="12811" width="10.453125" style="197" customWidth="1"/>
    <col min="12812" max="12813" width="10.36328125" style="197" customWidth="1"/>
    <col min="12814" max="12814" width="9.7265625" style="197" customWidth="1"/>
    <col min="12815" max="12816" width="0" style="197" hidden="1" customWidth="1"/>
    <col min="12817" max="13056" width="8.08984375" style="197"/>
    <col min="13057" max="13057" width="4.54296875" style="197" customWidth="1"/>
    <col min="13058" max="13058" width="33.453125" style="197" customWidth="1"/>
    <col min="13059" max="13059" width="11.54296875" style="197" customWidth="1"/>
    <col min="13060" max="13060" width="13.54296875" style="197" customWidth="1"/>
    <col min="13061" max="13061" width="11.54296875" style="197" customWidth="1"/>
    <col min="13062" max="13062" width="11.6328125" style="197" customWidth="1"/>
    <col min="13063" max="13063" width="11" style="197" customWidth="1"/>
    <col min="13064" max="13064" width="10.26953125" style="197" customWidth="1"/>
    <col min="13065" max="13065" width="11.81640625" style="197" customWidth="1"/>
    <col min="13066" max="13066" width="16.81640625" style="197" customWidth="1"/>
    <col min="13067" max="13067" width="10.453125" style="197" customWidth="1"/>
    <col min="13068" max="13069" width="10.36328125" style="197" customWidth="1"/>
    <col min="13070" max="13070" width="9.7265625" style="197" customWidth="1"/>
    <col min="13071" max="13072" width="0" style="197" hidden="1" customWidth="1"/>
    <col min="13073" max="13312" width="8.08984375" style="197"/>
    <col min="13313" max="13313" width="4.54296875" style="197" customWidth="1"/>
    <col min="13314" max="13314" width="33.453125" style="197" customWidth="1"/>
    <col min="13315" max="13315" width="11.54296875" style="197" customWidth="1"/>
    <col min="13316" max="13316" width="13.54296875" style="197" customWidth="1"/>
    <col min="13317" max="13317" width="11.54296875" style="197" customWidth="1"/>
    <col min="13318" max="13318" width="11.6328125" style="197" customWidth="1"/>
    <col min="13319" max="13319" width="11" style="197" customWidth="1"/>
    <col min="13320" max="13320" width="10.26953125" style="197" customWidth="1"/>
    <col min="13321" max="13321" width="11.81640625" style="197" customWidth="1"/>
    <col min="13322" max="13322" width="16.81640625" style="197" customWidth="1"/>
    <col min="13323" max="13323" width="10.453125" style="197" customWidth="1"/>
    <col min="13324" max="13325" width="10.36328125" style="197" customWidth="1"/>
    <col min="13326" max="13326" width="9.7265625" style="197" customWidth="1"/>
    <col min="13327" max="13328" width="0" style="197" hidden="1" customWidth="1"/>
    <col min="13329" max="13568" width="8.08984375" style="197"/>
    <col min="13569" max="13569" width="4.54296875" style="197" customWidth="1"/>
    <col min="13570" max="13570" width="33.453125" style="197" customWidth="1"/>
    <col min="13571" max="13571" width="11.54296875" style="197" customWidth="1"/>
    <col min="13572" max="13572" width="13.54296875" style="197" customWidth="1"/>
    <col min="13573" max="13573" width="11.54296875" style="197" customWidth="1"/>
    <col min="13574" max="13574" width="11.6328125" style="197" customWidth="1"/>
    <col min="13575" max="13575" width="11" style="197" customWidth="1"/>
    <col min="13576" max="13576" width="10.26953125" style="197" customWidth="1"/>
    <col min="13577" max="13577" width="11.81640625" style="197" customWidth="1"/>
    <col min="13578" max="13578" width="16.81640625" style="197" customWidth="1"/>
    <col min="13579" max="13579" width="10.453125" style="197" customWidth="1"/>
    <col min="13580" max="13581" width="10.36328125" style="197" customWidth="1"/>
    <col min="13582" max="13582" width="9.7265625" style="197" customWidth="1"/>
    <col min="13583" max="13584" width="0" style="197" hidden="1" customWidth="1"/>
    <col min="13585" max="13824" width="8.08984375" style="197"/>
    <col min="13825" max="13825" width="4.54296875" style="197" customWidth="1"/>
    <col min="13826" max="13826" width="33.453125" style="197" customWidth="1"/>
    <col min="13827" max="13827" width="11.54296875" style="197" customWidth="1"/>
    <col min="13828" max="13828" width="13.54296875" style="197" customWidth="1"/>
    <col min="13829" max="13829" width="11.54296875" style="197" customWidth="1"/>
    <col min="13830" max="13830" width="11.6328125" style="197" customWidth="1"/>
    <col min="13831" max="13831" width="11" style="197" customWidth="1"/>
    <col min="13832" max="13832" width="10.26953125" style="197" customWidth="1"/>
    <col min="13833" max="13833" width="11.81640625" style="197" customWidth="1"/>
    <col min="13834" max="13834" width="16.81640625" style="197" customWidth="1"/>
    <col min="13835" max="13835" width="10.453125" style="197" customWidth="1"/>
    <col min="13836" max="13837" width="10.36328125" style="197" customWidth="1"/>
    <col min="13838" max="13838" width="9.7265625" style="197" customWidth="1"/>
    <col min="13839" max="13840" width="0" style="197" hidden="1" customWidth="1"/>
    <col min="13841" max="14080" width="8.08984375" style="197"/>
    <col min="14081" max="14081" width="4.54296875" style="197" customWidth="1"/>
    <col min="14082" max="14082" width="33.453125" style="197" customWidth="1"/>
    <col min="14083" max="14083" width="11.54296875" style="197" customWidth="1"/>
    <col min="14084" max="14084" width="13.54296875" style="197" customWidth="1"/>
    <col min="14085" max="14085" width="11.54296875" style="197" customWidth="1"/>
    <col min="14086" max="14086" width="11.6328125" style="197" customWidth="1"/>
    <col min="14087" max="14087" width="11" style="197" customWidth="1"/>
    <col min="14088" max="14088" width="10.26953125" style="197" customWidth="1"/>
    <col min="14089" max="14089" width="11.81640625" style="197" customWidth="1"/>
    <col min="14090" max="14090" width="16.81640625" style="197" customWidth="1"/>
    <col min="14091" max="14091" width="10.453125" style="197" customWidth="1"/>
    <col min="14092" max="14093" width="10.36328125" style="197" customWidth="1"/>
    <col min="14094" max="14094" width="9.7265625" style="197" customWidth="1"/>
    <col min="14095" max="14096" width="0" style="197" hidden="1" customWidth="1"/>
    <col min="14097" max="14336" width="8.08984375" style="197"/>
    <col min="14337" max="14337" width="4.54296875" style="197" customWidth="1"/>
    <col min="14338" max="14338" width="33.453125" style="197" customWidth="1"/>
    <col min="14339" max="14339" width="11.54296875" style="197" customWidth="1"/>
    <col min="14340" max="14340" width="13.54296875" style="197" customWidth="1"/>
    <col min="14341" max="14341" width="11.54296875" style="197" customWidth="1"/>
    <col min="14342" max="14342" width="11.6328125" style="197" customWidth="1"/>
    <col min="14343" max="14343" width="11" style="197" customWidth="1"/>
    <col min="14344" max="14344" width="10.26953125" style="197" customWidth="1"/>
    <col min="14345" max="14345" width="11.81640625" style="197" customWidth="1"/>
    <col min="14346" max="14346" width="16.81640625" style="197" customWidth="1"/>
    <col min="14347" max="14347" width="10.453125" style="197" customWidth="1"/>
    <col min="14348" max="14349" width="10.36328125" style="197" customWidth="1"/>
    <col min="14350" max="14350" width="9.7265625" style="197" customWidth="1"/>
    <col min="14351" max="14352" width="0" style="197" hidden="1" customWidth="1"/>
    <col min="14353" max="14592" width="8.08984375" style="197"/>
    <col min="14593" max="14593" width="4.54296875" style="197" customWidth="1"/>
    <col min="14594" max="14594" width="33.453125" style="197" customWidth="1"/>
    <col min="14595" max="14595" width="11.54296875" style="197" customWidth="1"/>
    <col min="14596" max="14596" width="13.54296875" style="197" customWidth="1"/>
    <col min="14597" max="14597" width="11.54296875" style="197" customWidth="1"/>
    <col min="14598" max="14598" width="11.6328125" style="197" customWidth="1"/>
    <col min="14599" max="14599" width="11" style="197" customWidth="1"/>
    <col min="14600" max="14600" width="10.26953125" style="197" customWidth="1"/>
    <col min="14601" max="14601" width="11.81640625" style="197" customWidth="1"/>
    <col min="14602" max="14602" width="16.81640625" style="197" customWidth="1"/>
    <col min="14603" max="14603" width="10.453125" style="197" customWidth="1"/>
    <col min="14604" max="14605" width="10.36328125" style="197" customWidth="1"/>
    <col min="14606" max="14606" width="9.7265625" style="197" customWidth="1"/>
    <col min="14607" max="14608" width="0" style="197" hidden="1" customWidth="1"/>
    <col min="14609" max="14848" width="8.08984375" style="197"/>
    <col min="14849" max="14849" width="4.54296875" style="197" customWidth="1"/>
    <col min="14850" max="14850" width="33.453125" style="197" customWidth="1"/>
    <col min="14851" max="14851" width="11.54296875" style="197" customWidth="1"/>
    <col min="14852" max="14852" width="13.54296875" style="197" customWidth="1"/>
    <col min="14853" max="14853" width="11.54296875" style="197" customWidth="1"/>
    <col min="14854" max="14854" width="11.6328125" style="197" customWidth="1"/>
    <col min="14855" max="14855" width="11" style="197" customWidth="1"/>
    <col min="14856" max="14856" width="10.26953125" style="197" customWidth="1"/>
    <col min="14857" max="14857" width="11.81640625" style="197" customWidth="1"/>
    <col min="14858" max="14858" width="16.81640625" style="197" customWidth="1"/>
    <col min="14859" max="14859" width="10.453125" style="197" customWidth="1"/>
    <col min="14860" max="14861" width="10.36328125" style="197" customWidth="1"/>
    <col min="14862" max="14862" width="9.7265625" style="197" customWidth="1"/>
    <col min="14863" max="14864" width="0" style="197" hidden="1" customWidth="1"/>
    <col min="14865" max="15104" width="8.08984375" style="197"/>
    <col min="15105" max="15105" width="4.54296875" style="197" customWidth="1"/>
    <col min="15106" max="15106" width="33.453125" style="197" customWidth="1"/>
    <col min="15107" max="15107" width="11.54296875" style="197" customWidth="1"/>
    <col min="15108" max="15108" width="13.54296875" style="197" customWidth="1"/>
    <col min="15109" max="15109" width="11.54296875" style="197" customWidth="1"/>
    <col min="15110" max="15110" width="11.6328125" style="197" customWidth="1"/>
    <col min="15111" max="15111" width="11" style="197" customWidth="1"/>
    <col min="15112" max="15112" width="10.26953125" style="197" customWidth="1"/>
    <col min="15113" max="15113" width="11.81640625" style="197" customWidth="1"/>
    <col min="15114" max="15114" width="16.81640625" style="197" customWidth="1"/>
    <col min="15115" max="15115" width="10.453125" style="197" customWidth="1"/>
    <col min="15116" max="15117" width="10.36328125" style="197" customWidth="1"/>
    <col min="15118" max="15118" width="9.7265625" style="197" customWidth="1"/>
    <col min="15119" max="15120" width="0" style="197" hidden="1" customWidth="1"/>
    <col min="15121" max="15360" width="8.08984375" style="197"/>
    <col min="15361" max="15361" width="4.54296875" style="197" customWidth="1"/>
    <col min="15362" max="15362" width="33.453125" style="197" customWidth="1"/>
    <col min="15363" max="15363" width="11.54296875" style="197" customWidth="1"/>
    <col min="15364" max="15364" width="13.54296875" style="197" customWidth="1"/>
    <col min="15365" max="15365" width="11.54296875" style="197" customWidth="1"/>
    <col min="15366" max="15366" width="11.6328125" style="197" customWidth="1"/>
    <col min="15367" max="15367" width="11" style="197" customWidth="1"/>
    <col min="15368" max="15368" width="10.26953125" style="197" customWidth="1"/>
    <col min="15369" max="15369" width="11.81640625" style="197" customWidth="1"/>
    <col min="15370" max="15370" width="16.81640625" style="197" customWidth="1"/>
    <col min="15371" max="15371" width="10.453125" style="197" customWidth="1"/>
    <col min="15372" max="15373" width="10.36328125" style="197" customWidth="1"/>
    <col min="15374" max="15374" width="9.7265625" style="197" customWidth="1"/>
    <col min="15375" max="15376" width="0" style="197" hidden="1" customWidth="1"/>
    <col min="15377" max="15616" width="8.08984375" style="197"/>
    <col min="15617" max="15617" width="4.54296875" style="197" customWidth="1"/>
    <col min="15618" max="15618" width="33.453125" style="197" customWidth="1"/>
    <col min="15619" max="15619" width="11.54296875" style="197" customWidth="1"/>
    <col min="15620" max="15620" width="13.54296875" style="197" customWidth="1"/>
    <col min="15621" max="15621" width="11.54296875" style="197" customWidth="1"/>
    <col min="15622" max="15622" width="11.6328125" style="197" customWidth="1"/>
    <col min="15623" max="15623" width="11" style="197" customWidth="1"/>
    <col min="15624" max="15624" width="10.26953125" style="197" customWidth="1"/>
    <col min="15625" max="15625" width="11.81640625" style="197" customWidth="1"/>
    <col min="15626" max="15626" width="16.81640625" style="197" customWidth="1"/>
    <col min="15627" max="15627" width="10.453125" style="197" customWidth="1"/>
    <col min="15628" max="15629" width="10.36328125" style="197" customWidth="1"/>
    <col min="15630" max="15630" width="9.7265625" style="197" customWidth="1"/>
    <col min="15631" max="15632" width="0" style="197" hidden="1" customWidth="1"/>
    <col min="15633" max="15872" width="8.08984375" style="197"/>
    <col min="15873" max="15873" width="4.54296875" style="197" customWidth="1"/>
    <col min="15874" max="15874" width="33.453125" style="197" customWidth="1"/>
    <col min="15875" max="15875" width="11.54296875" style="197" customWidth="1"/>
    <col min="15876" max="15876" width="13.54296875" style="197" customWidth="1"/>
    <col min="15877" max="15877" width="11.54296875" style="197" customWidth="1"/>
    <col min="15878" max="15878" width="11.6328125" style="197" customWidth="1"/>
    <col min="15879" max="15879" width="11" style="197" customWidth="1"/>
    <col min="15880" max="15880" width="10.26953125" style="197" customWidth="1"/>
    <col min="15881" max="15881" width="11.81640625" style="197" customWidth="1"/>
    <col min="15882" max="15882" width="16.81640625" style="197" customWidth="1"/>
    <col min="15883" max="15883" width="10.453125" style="197" customWidth="1"/>
    <col min="15884" max="15885" width="10.36328125" style="197" customWidth="1"/>
    <col min="15886" max="15886" width="9.7265625" style="197" customWidth="1"/>
    <col min="15887" max="15888" width="0" style="197" hidden="1" customWidth="1"/>
    <col min="15889" max="16128" width="8.08984375" style="197"/>
    <col min="16129" max="16129" width="4.54296875" style="197" customWidth="1"/>
    <col min="16130" max="16130" width="33.453125" style="197" customWidth="1"/>
    <col min="16131" max="16131" width="11.54296875" style="197" customWidth="1"/>
    <col min="16132" max="16132" width="13.54296875" style="197" customWidth="1"/>
    <col min="16133" max="16133" width="11.54296875" style="197" customWidth="1"/>
    <col min="16134" max="16134" width="11.6328125" style="197" customWidth="1"/>
    <col min="16135" max="16135" width="11" style="197" customWidth="1"/>
    <col min="16136" max="16136" width="10.26953125" style="197" customWidth="1"/>
    <col min="16137" max="16137" width="11.81640625" style="197" customWidth="1"/>
    <col min="16138" max="16138" width="16.81640625" style="197" customWidth="1"/>
    <col min="16139" max="16139" width="10.453125" style="197" customWidth="1"/>
    <col min="16140" max="16141" width="10.36328125" style="197" customWidth="1"/>
    <col min="16142" max="16142" width="9.7265625" style="197" customWidth="1"/>
    <col min="16143" max="16144" width="0" style="197" hidden="1" customWidth="1"/>
    <col min="16145" max="16384" width="8.08984375" style="197"/>
  </cols>
  <sheetData>
    <row r="1" spans="1:16" s="194" customFormat="1" ht="16.8" x14ac:dyDescent="0.3">
      <c r="A1" s="190" t="s">
        <v>393</v>
      </c>
      <c r="B1" s="190"/>
      <c r="C1" s="191"/>
      <c r="D1" s="192"/>
      <c r="E1" s="192"/>
      <c r="F1" s="192"/>
      <c r="G1" s="192"/>
      <c r="H1" s="192"/>
      <c r="I1" s="192"/>
      <c r="J1" s="192"/>
      <c r="K1" s="192"/>
      <c r="L1" s="192"/>
      <c r="M1" s="192"/>
      <c r="N1" s="193" t="s">
        <v>451</v>
      </c>
      <c r="O1" s="192"/>
      <c r="P1" s="192"/>
    </row>
    <row r="2" spans="1:16" s="194" customFormat="1" ht="28.5" customHeight="1" x14ac:dyDescent="0.3">
      <c r="A2" s="273" t="s">
        <v>394</v>
      </c>
      <c r="B2" s="273"/>
      <c r="C2" s="273"/>
      <c r="D2" s="192"/>
      <c r="E2" s="192"/>
      <c r="F2" s="192"/>
      <c r="G2" s="192"/>
      <c r="H2" s="192"/>
      <c r="I2" s="192"/>
      <c r="J2" s="192"/>
      <c r="K2" s="192"/>
      <c r="L2" s="192"/>
      <c r="M2" s="192"/>
      <c r="N2" s="192"/>
      <c r="O2" s="192"/>
      <c r="P2" s="192"/>
    </row>
    <row r="3" spans="1:16" s="196" customFormat="1" ht="1.5" customHeight="1" x14ac:dyDescent="0.3">
      <c r="A3" s="195"/>
      <c r="B3" s="195"/>
      <c r="C3" s="195"/>
      <c r="D3" s="192"/>
      <c r="E3" s="192"/>
      <c r="F3" s="192"/>
      <c r="G3" s="192"/>
      <c r="H3" s="192"/>
      <c r="I3" s="192"/>
      <c r="J3" s="192"/>
      <c r="K3" s="192"/>
      <c r="L3" s="192"/>
      <c r="M3" s="192"/>
      <c r="N3" s="192"/>
      <c r="O3" s="192"/>
      <c r="P3" s="192"/>
    </row>
    <row r="4" spans="1:16" s="194" customFormat="1" ht="20.399999999999999" x14ac:dyDescent="0.25">
      <c r="A4" s="274" t="s">
        <v>395</v>
      </c>
      <c r="B4" s="274"/>
      <c r="C4" s="274"/>
      <c r="D4" s="274"/>
      <c r="E4" s="274"/>
      <c r="F4" s="274"/>
      <c r="G4" s="274"/>
      <c r="H4" s="274"/>
      <c r="I4" s="274"/>
      <c r="J4" s="274"/>
      <c r="K4" s="274"/>
      <c r="L4" s="274"/>
      <c r="M4" s="274"/>
      <c r="N4" s="274"/>
      <c r="O4" s="274"/>
      <c r="P4" s="274"/>
    </row>
    <row r="5" spans="1:16" ht="33.6" customHeight="1" x14ac:dyDescent="0.25">
      <c r="A5" s="275" t="str">
        <f>'Quyết toán chi đầu phát triển'!A3:AJ3</f>
        <v>(Kèm theo Quyết định số 244/QĐ-UBND ngày 10 tháng 4 năm 2026 của UBND xã Thanh Thịnh)</v>
      </c>
      <c r="B5" s="275"/>
      <c r="C5" s="275"/>
      <c r="D5" s="275"/>
      <c r="E5" s="275"/>
      <c r="F5" s="275"/>
      <c r="G5" s="275"/>
      <c r="H5" s="275"/>
      <c r="I5" s="275"/>
      <c r="J5" s="275"/>
      <c r="K5" s="275"/>
      <c r="L5" s="275"/>
      <c r="M5" s="275"/>
      <c r="N5" s="275"/>
      <c r="O5" s="275"/>
      <c r="P5" s="275"/>
    </row>
    <row r="6" spans="1:16" ht="23.25" customHeight="1" x14ac:dyDescent="0.25">
      <c r="A6" s="198"/>
      <c r="B6" s="198"/>
      <c r="C6" s="198"/>
      <c r="D6" s="198"/>
      <c r="E6" s="198"/>
      <c r="F6" s="198"/>
      <c r="G6" s="198"/>
      <c r="H6" s="198"/>
      <c r="I6" s="198"/>
      <c r="J6" s="198"/>
      <c r="K6" s="198"/>
      <c r="L6" s="198"/>
      <c r="M6" s="198"/>
      <c r="N6" s="199" t="s">
        <v>2</v>
      </c>
      <c r="O6" s="198"/>
      <c r="P6" s="198"/>
    </row>
    <row r="7" spans="1:16" ht="29.25" customHeight="1" x14ac:dyDescent="0.25">
      <c r="A7" s="270" t="s">
        <v>3</v>
      </c>
      <c r="B7" s="270" t="s">
        <v>396</v>
      </c>
      <c r="C7" s="270" t="s">
        <v>397</v>
      </c>
      <c r="D7" s="270" t="s">
        <v>398</v>
      </c>
      <c r="E7" s="270"/>
      <c r="F7" s="270"/>
      <c r="G7" s="270"/>
      <c r="H7" s="270"/>
      <c r="I7" s="270" t="s">
        <v>399</v>
      </c>
      <c r="J7" s="270"/>
      <c r="K7" s="270"/>
      <c r="L7" s="270"/>
      <c r="M7" s="270"/>
      <c r="N7" s="276" t="s">
        <v>400</v>
      </c>
      <c r="O7" s="279" t="s">
        <v>401</v>
      </c>
    </row>
    <row r="8" spans="1:16" ht="66" customHeight="1" x14ac:dyDescent="0.25">
      <c r="A8" s="270"/>
      <c r="B8" s="270"/>
      <c r="C8" s="270"/>
      <c r="D8" s="270" t="s">
        <v>402</v>
      </c>
      <c r="E8" s="270"/>
      <c r="F8" s="271" t="s">
        <v>403</v>
      </c>
      <c r="G8" s="272"/>
      <c r="H8" s="270" t="s">
        <v>404</v>
      </c>
      <c r="I8" s="270" t="s">
        <v>402</v>
      </c>
      <c r="J8" s="270"/>
      <c r="K8" s="271" t="s">
        <v>405</v>
      </c>
      <c r="L8" s="272"/>
      <c r="M8" s="270" t="s">
        <v>404</v>
      </c>
      <c r="N8" s="277"/>
      <c r="O8" s="279"/>
    </row>
    <row r="9" spans="1:16" ht="54.75" customHeight="1" x14ac:dyDescent="0.25">
      <c r="A9" s="270"/>
      <c r="B9" s="270"/>
      <c r="C9" s="270"/>
      <c r="D9" s="200" t="s">
        <v>156</v>
      </c>
      <c r="E9" s="200" t="s">
        <v>406</v>
      </c>
      <c r="F9" s="200" t="s">
        <v>156</v>
      </c>
      <c r="G9" s="200" t="s">
        <v>407</v>
      </c>
      <c r="H9" s="270"/>
      <c r="I9" s="200" t="s">
        <v>156</v>
      </c>
      <c r="J9" s="200" t="s">
        <v>406</v>
      </c>
      <c r="K9" s="200" t="s">
        <v>156</v>
      </c>
      <c r="L9" s="200" t="s">
        <v>407</v>
      </c>
      <c r="M9" s="270"/>
      <c r="N9" s="278"/>
      <c r="O9" s="279"/>
    </row>
    <row r="10" spans="1:16" ht="26.25" customHeight="1" x14ac:dyDescent="0.25">
      <c r="A10" s="202" t="s">
        <v>10</v>
      </c>
      <c r="B10" s="202" t="s">
        <v>11</v>
      </c>
      <c r="C10" s="202">
        <v>1</v>
      </c>
      <c r="D10" s="202">
        <v>2</v>
      </c>
      <c r="E10" s="202">
        <v>3</v>
      </c>
      <c r="F10" s="202" t="s">
        <v>408</v>
      </c>
      <c r="G10" s="202">
        <v>5</v>
      </c>
      <c r="H10" s="202" t="s">
        <v>409</v>
      </c>
      <c r="I10" s="202">
        <v>7</v>
      </c>
      <c r="J10" s="202">
        <v>8</v>
      </c>
      <c r="K10" s="202">
        <v>9</v>
      </c>
      <c r="L10" s="202">
        <v>10</v>
      </c>
      <c r="M10" s="202" t="s">
        <v>410</v>
      </c>
      <c r="N10" s="202" t="s">
        <v>411</v>
      </c>
      <c r="O10" s="203"/>
    </row>
    <row r="11" spans="1:16" s="207" customFormat="1" ht="19.8" customHeight="1" x14ac:dyDescent="0.3">
      <c r="A11" s="204"/>
      <c r="B11" s="205" t="s">
        <v>156</v>
      </c>
      <c r="C11" s="206">
        <f>+SUM(C12:C18)</f>
        <v>763950.99199999997</v>
      </c>
      <c r="D11" s="206">
        <f t="shared" ref="D11:P11" si="0">+SUM(D12:D18)</f>
        <v>523847.07999999996</v>
      </c>
      <c r="E11" s="206">
        <f t="shared" si="0"/>
        <v>0</v>
      </c>
      <c r="F11" s="206">
        <f t="shared" si="0"/>
        <v>1287798.0719999999</v>
      </c>
      <c r="G11" s="206">
        <f t="shared" si="0"/>
        <v>0</v>
      </c>
      <c r="H11" s="206">
        <f t="shared" si="0"/>
        <v>-763950.99199999997</v>
      </c>
      <c r="I11" s="206">
        <f t="shared" si="0"/>
        <v>0</v>
      </c>
      <c r="J11" s="206">
        <f t="shared" si="0"/>
        <v>0</v>
      </c>
      <c r="K11" s="206">
        <f t="shared" si="0"/>
        <v>647033</v>
      </c>
      <c r="L11" s="206">
        <f t="shared" si="0"/>
        <v>0</v>
      </c>
      <c r="M11" s="206">
        <f t="shared" si="0"/>
        <v>-647033</v>
      </c>
      <c r="N11" s="206">
        <f t="shared" si="0"/>
        <v>640765.07200000004</v>
      </c>
      <c r="O11" s="206">
        <f t="shared" si="0"/>
        <v>0</v>
      </c>
      <c r="P11" s="206">
        <f t="shared" si="0"/>
        <v>0</v>
      </c>
    </row>
    <row r="12" spans="1:16" s="207" customFormat="1" ht="18" customHeight="1" x14ac:dyDescent="0.3">
      <c r="A12" s="208">
        <v>1</v>
      </c>
      <c r="B12" s="209" t="s">
        <v>412</v>
      </c>
      <c r="C12" s="210">
        <v>237755.35200000001</v>
      </c>
      <c r="D12" s="210">
        <v>330295.30499999999</v>
      </c>
      <c r="E12" s="210"/>
      <c r="F12" s="210">
        <f>C12+D12</f>
        <v>568050.65700000001</v>
      </c>
      <c r="G12" s="210"/>
      <c r="H12" s="210">
        <f>D12-F12</f>
        <v>-237755.35200000001</v>
      </c>
      <c r="I12" s="210"/>
      <c r="J12" s="210"/>
      <c r="K12" s="210">
        <v>192016.5</v>
      </c>
      <c r="L12" s="210"/>
      <c r="M12" s="210">
        <f>I12-K12</f>
        <v>-192016.5</v>
      </c>
      <c r="N12" s="210">
        <f>C12+D12-K12</f>
        <v>376034.15700000001</v>
      </c>
      <c r="O12" s="211"/>
      <c r="P12" s="212" t="s">
        <v>413</v>
      </c>
    </row>
    <row r="13" spans="1:16" s="207" customFormat="1" ht="18" customHeight="1" x14ac:dyDescent="0.3">
      <c r="A13" s="213">
        <v>2</v>
      </c>
      <c r="B13" s="214" t="s">
        <v>414</v>
      </c>
      <c r="C13" s="215">
        <v>458158</v>
      </c>
      <c r="D13" s="215">
        <v>193551.77499999999</v>
      </c>
      <c r="E13" s="215"/>
      <c r="F13" s="215">
        <f t="shared" ref="F13:F18" si="1">C13+D13</f>
        <v>651709.77500000002</v>
      </c>
      <c r="G13" s="215"/>
      <c r="H13" s="215">
        <f t="shared" ref="H13:H18" si="2">D13-F13</f>
        <v>-458158</v>
      </c>
      <c r="I13" s="215"/>
      <c r="J13" s="215"/>
      <c r="K13" s="215">
        <v>455016.5</v>
      </c>
      <c r="L13" s="215"/>
      <c r="M13" s="215">
        <f t="shared" ref="M13:M18" si="3">I13-K13</f>
        <v>-455016.5</v>
      </c>
      <c r="N13" s="215">
        <f t="shared" ref="N13:N18" si="4">C13+D13-K13</f>
        <v>196693.27500000002</v>
      </c>
      <c r="O13" s="211"/>
      <c r="P13" s="212" t="s">
        <v>413</v>
      </c>
    </row>
    <row r="14" spans="1:16" s="207" customFormat="1" ht="30.6" customHeight="1" x14ac:dyDescent="0.3">
      <c r="A14" s="213">
        <v>3</v>
      </c>
      <c r="B14" s="214" t="s">
        <v>415</v>
      </c>
      <c r="C14" s="215">
        <v>38130</v>
      </c>
      <c r="D14" s="215"/>
      <c r="E14" s="215"/>
      <c r="F14" s="215">
        <f t="shared" si="1"/>
        <v>38130</v>
      </c>
      <c r="G14" s="215"/>
      <c r="H14" s="215">
        <f t="shared" si="2"/>
        <v>-38130</v>
      </c>
      <c r="I14" s="215"/>
      <c r="J14" s="215"/>
      <c r="K14" s="215"/>
      <c r="L14" s="215"/>
      <c r="M14" s="215">
        <f t="shared" si="3"/>
        <v>0</v>
      </c>
      <c r="N14" s="215">
        <f t="shared" si="4"/>
        <v>38130</v>
      </c>
      <c r="O14" s="211"/>
      <c r="P14" s="212" t="s">
        <v>413</v>
      </c>
    </row>
    <row r="15" spans="1:16" s="219" customFormat="1" ht="16.2" customHeight="1" x14ac:dyDescent="0.3">
      <c r="A15" s="213">
        <v>4</v>
      </c>
      <c r="B15" s="214" t="s">
        <v>416</v>
      </c>
      <c r="C15" s="216">
        <v>25779.9</v>
      </c>
      <c r="D15" s="216"/>
      <c r="E15" s="216"/>
      <c r="F15" s="215">
        <f t="shared" si="1"/>
        <v>25779.9</v>
      </c>
      <c r="G15" s="216"/>
      <c r="H15" s="215">
        <f t="shared" si="2"/>
        <v>-25779.9</v>
      </c>
      <c r="I15" s="216"/>
      <c r="J15" s="216"/>
      <c r="K15" s="216"/>
      <c r="L15" s="216"/>
      <c r="M15" s="215">
        <f t="shared" si="3"/>
        <v>0</v>
      </c>
      <c r="N15" s="215">
        <f t="shared" si="4"/>
        <v>25779.9</v>
      </c>
      <c r="O15" s="217" t="s">
        <v>417</v>
      </c>
      <c r="P15" s="218" t="s">
        <v>418</v>
      </c>
    </row>
    <row r="16" spans="1:16" ht="16.2" customHeight="1" x14ac:dyDescent="0.25">
      <c r="A16" s="213">
        <v>5</v>
      </c>
      <c r="B16" s="214" t="s">
        <v>419</v>
      </c>
      <c r="C16" s="215">
        <v>3897.5</v>
      </c>
      <c r="D16" s="215"/>
      <c r="E16" s="215"/>
      <c r="F16" s="215">
        <f t="shared" si="1"/>
        <v>3897.5</v>
      </c>
      <c r="G16" s="215"/>
      <c r="H16" s="215">
        <f t="shared" si="2"/>
        <v>-3897.5</v>
      </c>
      <c r="I16" s="215"/>
      <c r="J16" s="215"/>
      <c r="K16" s="215"/>
      <c r="L16" s="215"/>
      <c r="M16" s="215">
        <f t="shared" si="3"/>
        <v>0</v>
      </c>
      <c r="N16" s="215">
        <f t="shared" si="4"/>
        <v>3897.5</v>
      </c>
      <c r="O16" s="211" t="s">
        <v>420</v>
      </c>
      <c r="P16" s="212" t="s">
        <v>421</v>
      </c>
    </row>
    <row r="17" spans="1:16" s="222" customFormat="1" ht="16.2" customHeight="1" x14ac:dyDescent="0.3">
      <c r="A17" s="213">
        <v>6</v>
      </c>
      <c r="B17" s="214" t="s">
        <v>422</v>
      </c>
      <c r="C17" s="220">
        <v>227.6</v>
      </c>
      <c r="D17" s="220"/>
      <c r="E17" s="220"/>
      <c r="F17" s="215">
        <f t="shared" si="1"/>
        <v>227.6</v>
      </c>
      <c r="G17" s="220"/>
      <c r="H17" s="215">
        <f t="shared" si="2"/>
        <v>-227.6</v>
      </c>
      <c r="I17" s="220"/>
      <c r="J17" s="220"/>
      <c r="K17" s="220"/>
      <c r="L17" s="220"/>
      <c r="M17" s="215">
        <f t="shared" si="3"/>
        <v>0</v>
      </c>
      <c r="N17" s="215">
        <f t="shared" si="4"/>
        <v>227.6</v>
      </c>
      <c r="O17" s="211"/>
      <c r="P17" s="221" t="s">
        <v>413</v>
      </c>
    </row>
    <row r="18" spans="1:16" s="222" customFormat="1" ht="16.2" customHeight="1" x14ac:dyDescent="0.3">
      <c r="A18" s="223">
        <v>7</v>
      </c>
      <c r="B18" s="224" t="s">
        <v>423</v>
      </c>
      <c r="C18" s="225">
        <v>2.64</v>
      </c>
      <c r="D18" s="225"/>
      <c r="E18" s="225"/>
      <c r="F18" s="226">
        <f t="shared" si="1"/>
        <v>2.64</v>
      </c>
      <c r="G18" s="225"/>
      <c r="H18" s="226">
        <f t="shared" si="2"/>
        <v>-2.64</v>
      </c>
      <c r="I18" s="225"/>
      <c r="J18" s="225"/>
      <c r="K18" s="225"/>
      <c r="L18" s="225"/>
      <c r="M18" s="226">
        <f t="shared" si="3"/>
        <v>0</v>
      </c>
      <c r="N18" s="226">
        <f t="shared" si="4"/>
        <v>2.64</v>
      </c>
      <c r="O18" s="227"/>
      <c r="P18" s="221"/>
    </row>
    <row r="19" spans="1:16" ht="21" customHeight="1" x14ac:dyDescent="0.3">
      <c r="A19" s="228" t="s">
        <v>113</v>
      </c>
    </row>
    <row r="20" spans="1:16" ht="18.75" customHeight="1" x14ac:dyDescent="0.25">
      <c r="A20" s="230" t="s">
        <v>424</v>
      </c>
    </row>
    <row r="21" spans="1:16" ht="18.75" customHeight="1" x14ac:dyDescent="0.25">
      <c r="A21" s="230" t="s">
        <v>425</v>
      </c>
    </row>
    <row r="22" spans="1:16" s="194" customFormat="1" ht="18.75" customHeight="1" x14ac:dyDescent="0.25">
      <c r="A22" s="231" t="s">
        <v>426</v>
      </c>
      <c r="O22" s="229"/>
      <c r="P22" s="201"/>
    </row>
    <row r="23" spans="1:16" s="194" customFormat="1" ht="18.75" customHeight="1" x14ac:dyDescent="0.25">
      <c r="A23" s="230" t="s">
        <v>427</v>
      </c>
      <c r="O23" s="229"/>
      <c r="P23" s="201"/>
    </row>
    <row r="24" spans="1:16" s="194" customFormat="1" ht="18.75" customHeight="1" x14ac:dyDescent="0.25">
      <c r="A24" s="230" t="s">
        <v>428</v>
      </c>
      <c r="O24" s="229"/>
      <c r="P24" s="201"/>
    </row>
    <row r="25" spans="1:16" s="194" customFormat="1" ht="13.8" x14ac:dyDescent="0.25">
      <c r="A25" s="230"/>
      <c r="O25" s="229"/>
      <c r="P25" s="201"/>
    </row>
    <row r="26" spans="1:16" ht="15.6" x14ac:dyDescent="0.25">
      <c r="M26" s="268"/>
      <c r="N26" s="268"/>
    </row>
    <row r="27" spans="1:16" x14ac:dyDescent="0.25">
      <c r="M27" s="269"/>
      <c r="N27" s="269"/>
    </row>
    <row r="28" spans="1:16" ht="15.6" x14ac:dyDescent="0.25">
      <c r="M28" s="268"/>
      <c r="N28" s="268"/>
    </row>
  </sheetData>
  <mergeCells count="19">
    <mergeCell ref="A2:C2"/>
    <mergeCell ref="A4:P4"/>
    <mergeCell ref="A5:P5"/>
    <mergeCell ref="A7:A9"/>
    <mergeCell ref="B7:B9"/>
    <mergeCell ref="C7:C9"/>
    <mergeCell ref="D7:H7"/>
    <mergeCell ref="I7:M7"/>
    <mergeCell ref="N7:N9"/>
    <mergeCell ref="O7:O9"/>
    <mergeCell ref="M26:N26"/>
    <mergeCell ref="M27:N27"/>
    <mergeCell ref="M28:N28"/>
    <mergeCell ref="D8:E8"/>
    <mergeCell ref="F8:G8"/>
    <mergeCell ref="H8:H9"/>
    <mergeCell ref="I8:J8"/>
    <mergeCell ref="K8:L8"/>
    <mergeCell ref="M8:M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508A-7404-4015-A99A-B5316D26A2F3}">
  <dimension ref="A1:E24"/>
  <sheetViews>
    <sheetView workbookViewId="0">
      <selection activeCell="A18" sqref="A18"/>
    </sheetView>
  </sheetViews>
  <sheetFormatPr defaultRowHeight="18" x14ac:dyDescent="0.35"/>
  <cols>
    <col min="1" max="1" width="5.08984375" customWidth="1"/>
    <col min="2" max="2" width="34.36328125" customWidth="1"/>
    <col min="3" max="5" width="11.1796875" customWidth="1"/>
  </cols>
  <sheetData>
    <row r="1" spans="1:5" x14ac:dyDescent="0.35">
      <c r="E1" s="1" t="s">
        <v>452</v>
      </c>
    </row>
    <row r="2" spans="1:5" x14ac:dyDescent="0.35">
      <c r="A2" s="249" t="s">
        <v>429</v>
      </c>
      <c r="B2" s="249"/>
      <c r="C2" s="249"/>
      <c r="D2" s="249"/>
      <c r="E2" s="249"/>
    </row>
    <row r="3" spans="1:5" x14ac:dyDescent="0.35">
      <c r="A3" s="249" t="s">
        <v>430</v>
      </c>
      <c r="B3" s="249"/>
      <c r="C3" s="249"/>
      <c r="D3" s="249"/>
      <c r="E3" s="249"/>
    </row>
    <row r="4" spans="1:5" x14ac:dyDescent="0.35">
      <c r="A4" s="280" t="str">
        <f>'Bảng quỹ ngoài ngân sách'!A5:P5</f>
        <v>(Kèm theo Quyết định số 244/QĐ-UBND ngày 10 tháng 4 năm 2026 của UBND xã Thanh Thịnh)</v>
      </c>
      <c r="B4" s="280"/>
      <c r="C4" s="280"/>
      <c r="D4" s="280"/>
      <c r="E4" s="280"/>
    </row>
    <row r="5" spans="1:5" x14ac:dyDescent="0.35">
      <c r="E5" s="2" t="s">
        <v>2</v>
      </c>
    </row>
    <row r="6" spans="1:5" ht="31.2" x14ac:dyDescent="0.35">
      <c r="A6" s="3" t="s">
        <v>3</v>
      </c>
      <c r="B6" s="3" t="s">
        <v>61</v>
      </c>
      <c r="C6" s="3" t="s">
        <v>431</v>
      </c>
      <c r="D6" s="3" t="s">
        <v>432</v>
      </c>
      <c r="E6" s="3" t="s">
        <v>62</v>
      </c>
    </row>
    <row r="7" spans="1:5" s="232" customFormat="1" ht="13.2" x14ac:dyDescent="0.25">
      <c r="A7" s="6" t="s">
        <v>10</v>
      </c>
      <c r="B7" s="6" t="s">
        <v>11</v>
      </c>
      <c r="C7" s="6">
        <v>1</v>
      </c>
      <c r="D7" s="6">
        <v>2</v>
      </c>
      <c r="E7" s="6" t="s">
        <v>120</v>
      </c>
    </row>
    <row r="8" spans="1:5" x14ac:dyDescent="0.35">
      <c r="A8" s="281" t="s">
        <v>156</v>
      </c>
      <c r="B8" s="282"/>
      <c r="C8" s="233">
        <f>C9+C16+C17+C18+C19+C20+C21+C22+C23+C24</f>
        <v>63926.7</v>
      </c>
      <c r="D8" s="233">
        <f>D9+D16+D17+D18+D19+D20+D21+D22+D23+D24</f>
        <v>63926.7</v>
      </c>
      <c r="E8" s="234">
        <v>1</v>
      </c>
    </row>
    <row r="9" spans="1:5" x14ac:dyDescent="0.35">
      <c r="A9" s="5">
        <v>1</v>
      </c>
      <c r="B9" s="10" t="s">
        <v>433</v>
      </c>
      <c r="C9" s="235">
        <f>C10+C11</f>
        <v>63926.7</v>
      </c>
      <c r="D9" s="235">
        <f t="shared" ref="D9" si="0">D10+D11</f>
        <v>63926.7</v>
      </c>
      <c r="E9" s="234">
        <v>1</v>
      </c>
    </row>
    <row r="10" spans="1:5" x14ac:dyDescent="0.35">
      <c r="A10" s="5" t="s">
        <v>17</v>
      </c>
      <c r="B10" s="42" t="s">
        <v>434</v>
      </c>
      <c r="C10" s="10"/>
      <c r="D10" s="10"/>
      <c r="E10" s="10"/>
    </row>
    <row r="11" spans="1:5" x14ac:dyDescent="0.35">
      <c r="A11" s="5" t="s">
        <v>17</v>
      </c>
      <c r="B11" s="42" t="s">
        <v>435</v>
      </c>
      <c r="C11" s="235">
        <f>SUM(C12:C15)</f>
        <v>63926.7</v>
      </c>
      <c r="D11" s="235">
        <f>SUM(D12:D15)</f>
        <v>63926.7</v>
      </c>
      <c r="E11" s="234">
        <v>1</v>
      </c>
    </row>
    <row r="12" spans="1:5" x14ac:dyDescent="0.35">
      <c r="A12" s="5"/>
      <c r="B12" s="236" t="s">
        <v>436</v>
      </c>
      <c r="C12" s="237">
        <f>11.891*1000</f>
        <v>11891</v>
      </c>
      <c r="D12" s="238">
        <f>11.891*1000</f>
        <v>11891</v>
      </c>
      <c r="E12" s="234">
        <v>1</v>
      </c>
    </row>
    <row r="13" spans="1:5" x14ac:dyDescent="0.35">
      <c r="A13" s="5"/>
      <c r="B13" s="236" t="s">
        <v>437</v>
      </c>
      <c r="C13" s="238">
        <f>23.7405*1000</f>
        <v>23740.5</v>
      </c>
      <c r="D13" s="238">
        <f>23.7405*1000</f>
        <v>23740.5</v>
      </c>
      <c r="E13" s="234">
        <v>1</v>
      </c>
    </row>
    <row r="14" spans="1:5" x14ac:dyDescent="0.35">
      <c r="A14" s="5"/>
      <c r="B14" s="239" t="s">
        <v>438</v>
      </c>
      <c r="C14" s="238">
        <f>12.7627*1000</f>
        <v>12762.7</v>
      </c>
      <c r="D14" s="238">
        <f>12.7627*1000</f>
        <v>12762.7</v>
      </c>
      <c r="E14" s="234">
        <v>1</v>
      </c>
    </row>
    <row r="15" spans="1:5" x14ac:dyDescent="0.35">
      <c r="A15" s="5"/>
      <c r="B15" s="239" t="s">
        <v>439</v>
      </c>
      <c r="C15" s="238">
        <f>15.5325*1000</f>
        <v>15532.5</v>
      </c>
      <c r="D15" s="238">
        <f>15.5325*1000</f>
        <v>15532.5</v>
      </c>
      <c r="E15" s="234">
        <v>1</v>
      </c>
    </row>
    <row r="16" spans="1:5" x14ac:dyDescent="0.35">
      <c r="A16" s="5">
        <v>2</v>
      </c>
      <c r="B16" s="10" t="s">
        <v>440</v>
      </c>
      <c r="C16" s="10"/>
      <c r="D16" s="10"/>
      <c r="E16" s="10"/>
    </row>
    <row r="17" spans="1:5" x14ac:dyDescent="0.35">
      <c r="A17" s="5">
        <v>3</v>
      </c>
      <c r="B17" s="10" t="s">
        <v>441</v>
      </c>
      <c r="C17" s="10"/>
      <c r="D17" s="10"/>
      <c r="E17" s="10"/>
    </row>
    <row r="18" spans="1:5" x14ac:dyDescent="0.35">
      <c r="A18" s="5">
        <v>4</v>
      </c>
      <c r="B18" s="10" t="s">
        <v>442</v>
      </c>
      <c r="C18" s="10"/>
      <c r="D18" s="10"/>
      <c r="E18" s="10"/>
    </row>
    <row r="19" spans="1:5" x14ac:dyDescent="0.35">
      <c r="A19" s="5">
        <v>5</v>
      </c>
      <c r="B19" s="10" t="s">
        <v>443</v>
      </c>
      <c r="C19" s="10"/>
      <c r="D19" s="10"/>
      <c r="E19" s="10"/>
    </row>
    <row r="20" spans="1:5" x14ac:dyDescent="0.35">
      <c r="A20" s="5">
        <v>6</v>
      </c>
      <c r="B20" s="10" t="s">
        <v>444</v>
      </c>
      <c r="C20" s="10"/>
      <c r="D20" s="10"/>
      <c r="E20" s="10"/>
    </row>
    <row r="21" spans="1:5" x14ac:dyDescent="0.35">
      <c r="A21" s="5">
        <v>7</v>
      </c>
      <c r="B21" s="10" t="s">
        <v>445</v>
      </c>
      <c r="C21" s="10"/>
      <c r="D21" s="10"/>
      <c r="E21" s="10"/>
    </row>
    <row r="22" spans="1:5" x14ac:dyDescent="0.35">
      <c r="A22" s="5">
        <v>8</v>
      </c>
      <c r="B22" s="10"/>
      <c r="C22" s="10"/>
      <c r="D22" s="10"/>
      <c r="E22" s="10"/>
    </row>
    <row r="23" spans="1:5" x14ac:dyDescent="0.35">
      <c r="A23" s="5">
        <v>9</v>
      </c>
      <c r="B23" s="10"/>
      <c r="C23" s="10"/>
      <c r="D23" s="10"/>
      <c r="E23" s="10"/>
    </row>
    <row r="24" spans="1:5" x14ac:dyDescent="0.35">
      <c r="A24" s="5">
        <v>10</v>
      </c>
      <c r="B24" s="10"/>
      <c r="C24" s="10"/>
      <c r="D24" s="10"/>
      <c r="E24" s="10"/>
    </row>
  </sheetData>
  <mergeCells count="4">
    <mergeCell ref="A2:E2"/>
    <mergeCell ref="A3:E3"/>
    <mergeCell ref="A4:E4"/>
    <mergeCell ref="A8:B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B36C-6ED5-4B4D-8671-3A1590296B7C}">
  <dimension ref="A1:T68"/>
  <sheetViews>
    <sheetView workbookViewId="0">
      <selection activeCell="O9" sqref="O9"/>
    </sheetView>
  </sheetViews>
  <sheetFormatPr defaultRowHeight="13.8" x14ac:dyDescent="0.25"/>
  <cols>
    <col min="1" max="1" width="5.7265625" style="16" customWidth="1"/>
    <col min="2" max="2" width="22" style="16" customWidth="1"/>
    <col min="3" max="3" width="9.90625" style="16" bestFit="1" customWidth="1"/>
    <col min="4" max="4" width="9.81640625" style="16" bestFit="1" customWidth="1"/>
    <col min="5" max="9" width="7.453125" style="16" bestFit="1" customWidth="1"/>
    <col min="10" max="10" width="8.453125" style="16" customWidth="1"/>
    <col min="11" max="13" width="7.453125" style="16" bestFit="1" customWidth="1"/>
    <col min="14" max="14" width="9.1796875" style="16" bestFit="1" customWidth="1"/>
    <col min="15" max="16" width="7.453125" style="16" bestFit="1" customWidth="1"/>
    <col min="17" max="17" width="9.08984375" style="16" customWidth="1"/>
    <col min="18" max="18" width="7.81640625" style="16" bestFit="1" customWidth="1"/>
    <col min="19" max="19" width="7.453125" style="16" bestFit="1" customWidth="1"/>
    <col min="20" max="20" width="7.36328125" style="16" bestFit="1" customWidth="1"/>
    <col min="21" max="16384" width="8.7265625" style="16"/>
  </cols>
  <sheetData>
    <row r="1" spans="1:20" ht="15.6" x14ac:dyDescent="0.25">
      <c r="A1" s="242"/>
      <c r="B1" s="242"/>
      <c r="C1" s="242"/>
      <c r="D1" s="242"/>
      <c r="E1" s="242"/>
      <c r="T1" s="86" t="s">
        <v>235</v>
      </c>
    </row>
    <row r="2" spans="1:20" ht="15.6" x14ac:dyDescent="0.25">
      <c r="A2" s="249" t="s">
        <v>236</v>
      </c>
      <c r="B2" s="249"/>
      <c r="C2" s="249"/>
      <c r="D2" s="249"/>
      <c r="E2" s="249"/>
      <c r="F2" s="249"/>
      <c r="G2" s="249"/>
      <c r="H2" s="249"/>
      <c r="I2" s="249"/>
      <c r="J2" s="249"/>
      <c r="K2" s="249"/>
      <c r="L2" s="249"/>
      <c r="M2" s="249"/>
      <c r="N2" s="249"/>
      <c r="O2" s="249"/>
      <c r="P2" s="249"/>
      <c r="Q2" s="249"/>
      <c r="R2" s="249"/>
      <c r="S2" s="249"/>
      <c r="T2" s="249"/>
    </row>
    <row r="3" spans="1:20" ht="15.6" x14ac:dyDescent="0.25">
      <c r="A3" s="249" t="s">
        <v>1</v>
      </c>
      <c r="B3" s="249"/>
      <c r="C3" s="249"/>
      <c r="D3" s="249"/>
      <c r="E3" s="249"/>
      <c r="F3" s="249"/>
      <c r="G3" s="249"/>
      <c r="H3" s="249"/>
      <c r="I3" s="249"/>
      <c r="J3" s="249"/>
      <c r="K3" s="249"/>
      <c r="L3" s="249"/>
      <c r="M3" s="249"/>
      <c r="N3" s="249"/>
      <c r="O3" s="249"/>
      <c r="P3" s="249"/>
      <c r="Q3" s="249"/>
      <c r="R3" s="249"/>
      <c r="S3" s="249"/>
      <c r="T3" s="249"/>
    </row>
    <row r="4" spans="1:20" ht="15.6" x14ac:dyDescent="0.25">
      <c r="T4" s="2" t="s">
        <v>2</v>
      </c>
    </row>
    <row r="5" spans="1:20" x14ac:dyDescent="0.25">
      <c r="A5" s="285" t="s">
        <v>3</v>
      </c>
      <c r="B5" s="285" t="s">
        <v>143</v>
      </c>
      <c r="C5" s="285" t="s">
        <v>5</v>
      </c>
      <c r="D5" s="285" t="s">
        <v>6</v>
      </c>
      <c r="E5" s="285" t="s">
        <v>125</v>
      </c>
      <c r="F5" s="285" t="s">
        <v>128</v>
      </c>
      <c r="G5" s="285" t="s">
        <v>237</v>
      </c>
      <c r="H5" s="285" t="s">
        <v>238</v>
      </c>
      <c r="I5" s="285" t="s">
        <v>239</v>
      </c>
      <c r="J5" s="285" t="s">
        <v>240</v>
      </c>
      <c r="K5" s="285" t="s">
        <v>241</v>
      </c>
      <c r="L5" s="285" t="s">
        <v>242</v>
      </c>
      <c r="M5" s="285" t="s">
        <v>243</v>
      </c>
      <c r="N5" s="285" t="s">
        <v>244</v>
      </c>
      <c r="O5" s="285" t="s">
        <v>245</v>
      </c>
      <c r="P5" s="285"/>
      <c r="Q5" s="285" t="s">
        <v>246</v>
      </c>
      <c r="R5" s="285" t="s">
        <v>247</v>
      </c>
      <c r="S5" s="285" t="s">
        <v>248</v>
      </c>
      <c r="T5" s="285" t="s">
        <v>62</v>
      </c>
    </row>
    <row r="6" spans="1:20" ht="40.799999999999997" x14ac:dyDescent="0.25">
      <c r="A6" s="285"/>
      <c r="B6" s="285"/>
      <c r="C6" s="285"/>
      <c r="D6" s="285"/>
      <c r="E6" s="285"/>
      <c r="F6" s="285"/>
      <c r="G6" s="285"/>
      <c r="H6" s="285"/>
      <c r="I6" s="285"/>
      <c r="J6" s="285"/>
      <c r="K6" s="285"/>
      <c r="L6" s="285"/>
      <c r="M6" s="285"/>
      <c r="N6" s="285"/>
      <c r="O6" s="87" t="s">
        <v>249</v>
      </c>
      <c r="P6" s="87" t="s">
        <v>250</v>
      </c>
      <c r="Q6" s="285"/>
      <c r="R6" s="285"/>
      <c r="S6" s="285"/>
      <c r="T6" s="285"/>
    </row>
    <row r="7" spans="1:20" ht="18.600000000000001" customHeight="1" x14ac:dyDescent="0.25">
      <c r="A7" s="87" t="s">
        <v>10</v>
      </c>
      <c r="B7" s="87" t="s">
        <v>11</v>
      </c>
      <c r="C7" s="87">
        <v>1</v>
      </c>
      <c r="D7" s="87">
        <v>2</v>
      </c>
      <c r="E7" s="87">
        <v>3</v>
      </c>
      <c r="F7" s="87">
        <v>4</v>
      </c>
      <c r="G7" s="87">
        <v>5</v>
      </c>
      <c r="H7" s="87">
        <v>6</v>
      </c>
      <c r="I7" s="87">
        <v>7</v>
      </c>
      <c r="J7" s="87">
        <v>8</v>
      </c>
      <c r="K7" s="87">
        <v>9</v>
      </c>
      <c r="L7" s="87">
        <v>10</v>
      </c>
      <c r="M7" s="87">
        <v>11</v>
      </c>
      <c r="N7" s="87">
        <v>12</v>
      </c>
      <c r="O7" s="87">
        <v>13</v>
      </c>
      <c r="P7" s="87">
        <v>14</v>
      </c>
      <c r="Q7" s="87">
        <v>15</v>
      </c>
      <c r="R7" s="87">
        <v>16</v>
      </c>
      <c r="S7" s="87">
        <v>17</v>
      </c>
      <c r="T7" s="87" t="s">
        <v>251</v>
      </c>
    </row>
    <row r="8" spans="1:20" s="90" customFormat="1" ht="32.4" customHeight="1" x14ac:dyDescent="0.25">
      <c r="A8" s="283" t="s">
        <v>156</v>
      </c>
      <c r="B8" s="284"/>
      <c r="C8" s="88">
        <f>SUM(C9:C68)</f>
        <v>21648128.666999999</v>
      </c>
      <c r="D8" s="88">
        <f t="shared" ref="D8:T8" si="0">SUM(D9:D68)</f>
        <v>18364016.784999996</v>
      </c>
      <c r="E8" s="88">
        <f t="shared" si="0"/>
        <v>890000</v>
      </c>
      <c r="F8" s="88">
        <f t="shared" si="0"/>
        <v>0</v>
      </c>
      <c r="G8" s="88">
        <f t="shared" si="0"/>
        <v>0</v>
      </c>
      <c r="H8" s="88">
        <f t="shared" si="0"/>
        <v>0</v>
      </c>
      <c r="I8" s="88">
        <f t="shared" si="0"/>
        <v>0</v>
      </c>
      <c r="J8" s="88">
        <f>SUM(J9:J68)</f>
        <v>314962.14</v>
      </c>
      <c r="K8" s="88">
        <f t="shared" si="0"/>
        <v>0</v>
      </c>
      <c r="L8" s="88">
        <f t="shared" si="0"/>
        <v>0</v>
      </c>
      <c r="M8" s="88">
        <f t="shared" si="0"/>
        <v>0</v>
      </c>
      <c r="N8" s="88">
        <f t="shared" si="0"/>
        <v>16543054.645</v>
      </c>
      <c r="O8" s="88">
        <f t="shared" si="0"/>
        <v>0</v>
      </c>
      <c r="P8" s="88">
        <f t="shared" si="0"/>
        <v>0</v>
      </c>
      <c r="Q8" s="88">
        <f t="shared" si="0"/>
        <v>0</v>
      </c>
      <c r="R8" s="88">
        <f t="shared" si="0"/>
        <v>616000</v>
      </c>
      <c r="S8" s="88">
        <f t="shared" si="0"/>
        <v>0</v>
      </c>
      <c r="T8" s="89">
        <f t="shared" si="0"/>
        <v>0</v>
      </c>
    </row>
    <row r="9" spans="1:20" s="54" customFormat="1" ht="46.2" customHeight="1" x14ac:dyDescent="0.25">
      <c r="A9" s="67">
        <v>1</v>
      </c>
      <c r="B9" s="91" t="s">
        <v>169</v>
      </c>
      <c r="C9" s="92">
        <f>1607215068/1000</f>
        <v>1607215.068</v>
      </c>
      <c r="D9" s="93">
        <f>SUM(E9:S9)</f>
        <v>1607215.068</v>
      </c>
      <c r="E9" s="93"/>
      <c r="F9" s="94"/>
      <c r="G9" s="94"/>
      <c r="H9" s="94"/>
      <c r="I9" s="94"/>
      <c r="J9" s="95"/>
      <c r="K9" s="94"/>
      <c r="L9" s="94"/>
      <c r="M9" s="94"/>
      <c r="N9" s="96">
        <v>1607215.068</v>
      </c>
      <c r="O9" s="94"/>
      <c r="P9" s="94"/>
      <c r="Q9" s="94"/>
      <c r="R9" s="93"/>
      <c r="S9" s="94"/>
      <c r="T9" s="67"/>
    </row>
    <row r="10" spans="1:20" s="54" customFormat="1" ht="37.799999999999997" customHeight="1" x14ac:dyDescent="0.25">
      <c r="A10" s="67">
        <v>2</v>
      </c>
      <c r="B10" s="91" t="s">
        <v>170</v>
      </c>
      <c r="C10" s="92">
        <f>890000000/1000</f>
        <v>890000</v>
      </c>
      <c r="D10" s="93">
        <f t="shared" ref="D10:D68" si="1">SUM(E10:S10)</f>
        <v>890000</v>
      </c>
      <c r="E10" s="93">
        <v>890000</v>
      </c>
      <c r="F10" s="94"/>
      <c r="G10" s="94"/>
      <c r="H10" s="94"/>
      <c r="I10" s="94"/>
      <c r="J10" s="95"/>
      <c r="K10" s="94"/>
      <c r="L10" s="94"/>
      <c r="M10" s="94"/>
      <c r="N10" s="25"/>
      <c r="O10" s="94"/>
      <c r="P10" s="94"/>
      <c r="Q10" s="94"/>
      <c r="R10" s="93"/>
      <c r="S10" s="94"/>
      <c r="T10" s="67"/>
    </row>
    <row r="11" spans="1:20" s="54" customFormat="1" ht="37.799999999999997" customHeight="1" x14ac:dyDescent="0.25">
      <c r="A11" s="67">
        <v>3</v>
      </c>
      <c r="B11" s="91" t="s">
        <v>171</v>
      </c>
      <c r="C11" s="92">
        <f>22800000/1000</f>
        <v>22800</v>
      </c>
      <c r="D11" s="93">
        <f t="shared" si="1"/>
        <v>19683.485000000001</v>
      </c>
      <c r="E11" s="93"/>
      <c r="F11" s="94"/>
      <c r="G11" s="94"/>
      <c r="H11" s="94"/>
      <c r="I11" s="94"/>
      <c r="J11" s="95"/>
      <c r="K11" s="94"/>
      <c r="L11" s="94"/>
      <c r="M11" s="94"/>
      <c r="N11" s="25">
        <v>19683.485000000001</v>
      </c>
      <c r="O11" s="94"/>
      <c r="P11" s="94"/>
      <c r="Q11" s="94"/>
      <c r="R11" s="93"/>
      <c r="S11" s="94"/>
      <c r="T11" s="67"/>
    </row>
    <row r="12" spans="1:20" s="54" customFormat="1" ht="71.400000000000006" customHeight="1" x14ac:dyDescent="0.25">
      <c r="A12" s="67">
        <v>4</v>
      </c>
      <c r="B12" s="91" t="s">
        <v>172</v>
      </c>
      <c r="C12" s="92">
        <f>36885000/1000</f>
        <v>36885</v>
      </c>
      <c r="D12" s="93">
        <f t="shared" si="1"/>
        <v>33623.781999999999</v>
      </c>
      <c r="E12" s="93"/>
      <c r="F12" s="94"/>
      <c r="G12" s="94"/>
      <c r="H12" s="94"/>
      <c r="I12" s="94"/>
      <c r="J12" s="92">
        <v>33623.781999999999</v>
      </c>
      <c r="K12" s="94"/>
      <c r="L12" s="94"/>
      <c r="M12" s="94"/>
      <c r="N12" s="25"/>
      <c r="O12" s="94"/>
      <c r="P12" s="94"/>
      <c r="Q12" s="94"/>
      <c r="R12" s="93"/>
      <c r="S12" s="94"/>
      <c r="T12" s="67"/>
    </row>
    <row r="13" spans="1:20" s="54" customFormat="1" ht="46.2" customHeight="1" x14ac:dyDescent="0.25">
      <c r="A13" s="67">
        <v>5</v>
      </c>
      <c r="B13" s="91" t="s">
        <v>173</v>
      </c>
      <c r="C13" s="92">
        <f>73617930/1000</f>
        <v>73617.929999999993</v>
      </c>
      <c r="D13" s="93">
        <f t="shared" si="1"/>
        <v>46042.218999999997</v>
      </c>
      <c r="E13" s="93"/>
      <c r="F13" s="94"/>
      <c r="G13" s="94"/>
      <c r="H13" s="94"/>
      <c r="I13" s="94"/>
      <c r="J13" s="95"/>
      <c r="K13" s="94"/>
      <c r="L13" s="94"/>
      <c r="M13" s="94"/>
      <c r="N13" s="25">
        <v>46042.218999999997</v>
      </c>
      <c r="O13" s="94"/>
      <c r="P13" s="94"/>
      <c r="Q13" s="94"/>
      <c r="R13" s="93"/>
      <c r="S13" s="94"/>
      <c r="T13" s="67"/>
    </row>
    <row r="14" spans="1:20" s="54" customFormat="1" ht="45.6" customHeight="1" x14ac:dyDescent="0.25">
      <c r="A14" s="67">
        <v>6</v>
      </c>
      <c r="B14" s="91" t="s">
        <v>174</v>
      </c>
      <c r="C14" s="92">
        <v>150000</v>
      </c>
      <c r="D14" s="93">
        <f t="shared" si="1"/>
        <v>150000</v>
      </c>
      <c r="E14" s="93"/>
      <c r="F14" s="94"/>
      <c r="G14" s="94"/>
      <c r="H14" s="94"/>
      <c r="I14" s="94"/>
      <c r="J14" s="95"/>
      <c r="K14" s="94"/>
      <c r="L14" s="94"/>
      <c r="M14" s="94"/>
      <c r="N14" s="25">
        <v>150000</v>
      </c>
      <c r="O14" s="94"/>
      <c r="P14" s="94"/>
      <c r="Q14" s="94"/>
      <c r="R14" s="93"/>
      <c r="S14" s="94"/>
      <c r="T14" s="67"/>
    </row>
    <row r="15" spans="1:20" s="54" customFormat="1" ht="47.4" customHeight="1" x14ac:dyDescent="0.25">
      <c r="A15" s="67">
        <v>7</v>
      </c>
      <c r="B15" s="91" t="s">
        <v>175</v>
      </c>
      <c r="C15" s="92">
        <f>26700000/1000</f>
        <v>26700</v>
      </c>
      <c r="D15" s="93">
        <f t="shared" si="1"/>
        <v>15941.031999999999</v>
      </c>
      <c r="E15" s="93"/>
      <c r="F15" s="94"/>
      <c r="G15" s="94"/>
      <c r="H15" s="94"/>
      <c r="I15" s="94"/>
      <c r="J15" s="95"/>
      <c r="K15" s="94"/>
      <c r="L15" s="94"/>
      <c r="M15" s="94"/>
      <c r="N15" s="25">
        <v>15941.031999999999</v>
      </c>
      <c r="O15" s="94"/>
      <c r="P15" s="94"/>
      <c r="Q15" s="94"/>
      <c r="R15" s="93"/>
      <c r="S15" s="94"/>
      <c r="T15" s="67"/>
    </row>
    <row r="16" spans="1:20" s="54" customFormat="1" ht="64.8" customHeight="1" x14ac:dyDescent="0.25">
      <c r="A16" s="67">
        <v>8</v>
      </c>
      <c r="B16" s="91" t="s">
        <v>176</v>
      </c>
      <c r="C16" s="92">
        <f>61600000/100</f>
        <v>616000</v>
      </c>
      <c r="D16" s="93">
        <f t="shared" si="1"/>
        <v>616000</v>
      </c>
      <c r="E16" s="93"/>
      <c r="F16" s="94"/>
      <c r="G16" s="94"/>
      <c r="H16" s="94"/>
      <c r="I16" s="94"/>
      <c r="J16" s="95"/>
      <c r="K16" s="94"/>
      <c r="L16" s="94"/>
      <c r="M16" s="94"/>
      <c r="N16" s="25"/>
      <c r="O16" s="94"/>
      <c r="P16" s="94"/>
      <c r="Q16" s="94"/>
      <c r="R16" s="93">
        <v>616000</v>
      </c>
      <c r="S16" s="94"/>
      <c r="T16" s="67"/>
    </row>
    <row r="17" spans="1:20" s="54" customFormat="1" ht="43.2" customHeight="1" x14ac:dyDescent="0.25">
      <c r="A17" s="67">
        <v>9</v>
      </c>
      <c r="B17" s="91" t="s">
        <v>177</v>
      </c>
      <c r="C17" s="92">
        <f>125100000/1000</f>
        <v>125100</v>
      </c>
      <c r="D17" s="93">
        <f t="shared" si="1"/>
        <v>115685.11599999999</v>
      </c>
      <c r="E17" s="93"/>
      <c r="F17" s="94"/>
      <c r="G17" s="94"/>
      <c r="H17" s="94"/>
      <c r="I17" s="94"/>
      <c r="J17" s="95"/>
      <c r="K17" s="94"/>
      <c r="L17" s="94"/>
      <c r="M17" s="94"/>
      <c r="N17" s="25">
        <v>115685.11599999999</v>
      </c>
      <c r="O17" s="94"/>
      <c r="P17" s="94"/>
      <c r="Q17" s="94"/>
      <c r="R17" s="93"/>
      <c r="S17" s="94"/>
      <c r="T17" s="67"/>
    </row>
    <row r="18" spans="1:20" s="54" customFormat="1" ht="46.2" customHeight="1" x14ac:dyDescent="0.25">
      <c r="A18" s="67">
        <v>10</v>
      </c>
      <c r="B18" s="91" t="s">
        <v>178</v>
      </c>
      <c r="C18" s="92">
        <f>70700000/1000</f>
        <v>70700</v>
      </c>
      <c r="D18" s="93">
        <f t="shared" si="1"/>
        <v>61285.116000000002</v>
      </c>
      <c r="E18" s="93"/>
      <c r="F18" s="94"/>
      <c r="G18" s="94"/>
      <c r="H18" s="94"/>
      <c r="I18" s="94"/>
      <c r="J18" s="95"/>
      <c r="K18" s="94"/>
      <c r="L18" s="94"/>
      <c r="M18" s="94"/>
      <c r="N18" s="25">
        <v>61285.116000000002</v>
      </c>
      <c r="O18" s="94"/>
      <c r="P18" s="94"/>
      <c r="Q18" s="94"/>
      <c r="R18" s="93"/>
      <c r="S18" s="94"/>
      <c r="T18" s="67"/>
    </row>
    <row r="19" spans="1:20" s="54" customFormat="1" ht="47.4" customHeight="1" x14ac:dyDescent="0.25">
      <c r="A19" s="67">
        <v>11</v>
      </c>
      <c r="B19" s="91" t="s">
        <v>179</v>
      </c>
      <c r="C19" s="92">
        <f>57614164/1000</f>
        <v>57614.163999999997</v>
      </c>
      <c r="D19" s="93">
        <f t="shared" si="1"/>
        <v>48199.28</v>
      </c>
      <c r="E19" s="93"/>
      <c r="F19" s="94"/>
      <c r="G19" s="94"/>
      <c r="H19" s="94"/>
      <c r="I19" s="94"/>
      <c r="J19" s="95"/>
      <c r="K19" s="94"/>
      <c r="L19" s="94"/>
      <c r="M19" s="94"/>
      <c r="N19" s="25">
        <v>48199.28</v>
      </c>
      <c r="O19" s="94"/>
      <c r="P19" s="94"/>
      <c r="Q19" s="94"/>
      <c r="R19" s="93"/>
      <c r="S19" s="94"/>
      <c r="T19" s="67"/>
    </row>
    <row r="20" spans="1:20" s="54" customFormat="1" ht="37.799999999999997" customHeight="1" x14ac:dyDescent="0.25">
      <c r="A20" s="67">
        <v>12</v>
      </c>
      <c r="B20" s="91" t="s">
        <v>180</v>
      </c>
      <c r="C20" s="92">
        <v>61600</v>
      </c>
      <c r="D20" s="93">
        <f t="shared" si="1"/>
        <v>61578.336000000003</v>
      </c>
      <c r="E20" s="93"/>
      <c r="F20" s="94"/>
      <c r="G20" s="94"/>
      <c r="H20" s="94"/>
      <c r="I20" s="94"/>
      <c r="J20" s="95">
        <v>61578.336000000003</v>
      </c>
      <c r="K20" s="94"/>
      <c r="L20" s="94"/>
      <c r="M20" s="94"/>
      <c r="N20" s="25"/>
      <c r="O20" s="94"/>
      <c r="P20" s="94"/>
      <c r="Q20" s="94"/>
      <c r="R20" s="93"/>
      <c r="S20" s="94"/>
      <c r="T20" s="67"/>
    </row>
    <row r="21" spans="1:20" s="54" customFormat="1" ht="39.6" customHeight="1" x14ac:dyDescent="0.25">
      <c r="A21" s="67">
        <v>13</v>
      </c>
      <c r="B21" s="91" t="s">
        <v>181</v>
      </c>
      <c r="C21" s="92">
        <f>41300000/1000</f>
        <v>41300</v>
      </c>
      <c r="D21" s="93">
        <f t="shared" si="1"/>
        <v>39363.226999999999</v>
      </c>
      <c r="E21" s="93"/>
      <c r="F21" s="94"/>
      <c r="G21" s="94"/>
      <c r="H21" s="94"/>
      <c r="I21" s="94"/>
      <c r="J21" s="95"/>
      <c r="K21" s="94"/>
      <c r="L21" s="94"/>
      <c r="M21" s="94"/>
      <c r="N21" s="25">
        <v>39363.226999999999</v>
      </c>
      <c r="O21" s="94"/>
      <c r="P21" s="94"/>
      <c r="Q21" s="94"/>
      <c r="R21" s="93"/>
      <c r="S21" s="94"/>
      <c r="T21" s="67"/>
    </row>
    <row r="22" spans="1:20" s="54" customFormat="1" ht="34.799999999999997" customHeight="1" x14ac:dyDescent="0.25">
      <c r="A22" s="67">
        <v>14</v>
      </c>
      <c r="B22" s="91" t="s">
        <v>182</v>
      </c>
      <c r="C22" s="92">
        <f>36600000/1000</f>
        <v>36600</v>
      </c>
      <c r="D22" s="93">
        <f t="shared" si="1"/>
        <v>27895.572</v>
      </c>
      <c r="E22" s="93"/>
      <c r="F22" s="94"/>
      <c r="G22" s="94"/>
      <c r="H22" s="94"/>
      <c r="I22" s="94"/>
      <c r="J22" s="95">
        <v>27895.572</v>
      </c>
      <c r="K22" s="94"/>
      <c r="L22" s="94"/>
      <c r="M22" s="94"/>
      <c r="N22" s="25"/>
      <c r="O22" s="94"/>
      <c r="P22" s="94"/>
      <c r="Q22" s="94"/>
      <c r="R22" s="93"/>
      <c r="S22" s="94"/>
      <c r="T22" s="67"/>
    </row>
    <row r="23" spans="1:20" s="54" customFormat="1" ht="54" customHeight="1" x14ac:dyDescent="0.25">
      <c r="A23" s="67">
        <v>15</v>
      </c>
      <c r="B23" s="91" t="s">
        <v>183</v>
      </c>
      <c r="C23" s="92">
        <f>164500000/1000</f>
        <v>164500</v>
      </c>
      <c r="D23" s="93">
        <f t="shared" si="1"/>
        <v>146118.44</v>
      </c>
      <c r="E23" s="93"/>
      <c r="F23" s="94"/>
      <c r="G23" s="94"/>
      <c r="H23" s="94"/>
      <c r="I23" s="94"/>
      <c r="J23" s="95"/>
      <c r="K23" s="94"/>
      <c r="L23" s="94"/>
      <c r="M23" s="94"/>
      <c r="N23" s="25">
        <v>146118.44</v>
      </c>
      <c r="O23" s="94"/>
      <c r="P23" s="94"/>
      <c r="Q23" s="94"/>
      <c r="R23" s="93"/>
      <c r="S23" s="94"/>
      <c r="T23" s="67"/>
    </row>
    <row r="24" spans="1:20" s="54" customFormat="1" ht="42" customHeight="1" x14ac:dyDescent="0.25">
      <c r="A24" s="67">
        <v>16</v>
      </c>
      <c r="B24" s="91" t="s">
        <v>184</v>
      </c>
      <c r="C24" s="92">
        <f>216100000/1000</f>
        <v>216100</v>
      </c>
      <c r="D24" s="93">
        <f t="shared" si="1"/>
        <v>91124.122000000003</v>
      </c>
      <c r="E24" s="93"/>
      <c r="F24" s="94"/>
      <c r="G24" s="94"/>
      <c r="H24" s="94"/>
      <c r="I24" s="94"/>
      <c r="J24" s="95"/>
      <c r="K24" s="94"/>
      <c r="L24" s="94"/>
      <c r="M24" s="94"/>
      <c r="N24" s="25">
        <v>91124.122000000003</v>
      </c>
      <c r="O24" s="94"/>
      <c r="P24" s="94"/>
      <c r="Q24" s="94"/>
      <c r="R24" s="93"/>
      <c r="S24" s="94"/>
      <c r="T24" s="67"/>
    </row>
    <row r="25" spans="1:20" s="54" customFormat="1" ht="60.6" customHeight="1" x14ac:dyDescent="0.25">
      <c r="A25" s="67">
        <v>17</v>
      </c>
      <c r="B25" s="91" t="s">
        <v>185</v>
      </c>
      <c r="C25" s="92">
        <f>9400000/1000</f>
        <v>9400</v>
      </c>
      <c r="D25" s="93">
        <f t="shared" si="1"/>
        <v>242.108</v>
      </c>
      <c r="E25" s="93"/>
      <c r="F25" s="94"/>
      <c r="G25" s="94"/>
      <c r="H25" s="94"/>
      <c r="I25" s="94"/>
      <c r="J25" s="95"/>
      <c r="K25" s="94"/>
      <c r="L25" s="94"/>
      <c r="M25" s="94"/>
      <c r="N25" s="25">
        <v>242.108</v>
      </c>
      <c r="O25" s="94"/>
      <c r="P25" s="94"/>
      <c r="Q25" s="94"/>
      <c r="R25" s="93"/>
      <c r="S25" s="94"/>
      <c r="T25" s="67"/>
    </row>
    <row r="26" spans="1:20" s="54" customFormat="1" ht="60.6" customHeight="1" x14ac:dyDescent="0.25">
      <c r="A26" s="67">
        <v>18</v>
      </c>
      <c r="B26" s="91" t="s">
        <v>186</v>
      </c>
      <c r="C26" s="92">
        <f>34600000/1000</f>
        <v>34600</v>
      </c>
      <c r="D26" s="93">
        <f t="shared" si="1"/>
        <v>16087.029</v>
      </c>
      <c r="E26" s="93"/>
      <c r="F26" s="94"/>
      <c r="G26" s="94"/>
      <c r="H26" s="94"/>
      <c r="I26" s="94"/>
      <c r="J26" s="95"/>
      <c r="K26" s="94"/>
      <c r="L26" s="94"/>
      <c r="M26" s="94"/>
      <c r="N26" s="25">
        <v>16087.029</v>
      </c>
      <c r="O26" s="94"/>
      <c r="P26" s="94"/>
      <c r="Q26" s="94"/>
      <c r="R26" s="93"/>
      <c r="S26" s="94"/>
      <c r="T26" s="67"/>
    </row>
    <row r="27" spans="1:20" s="54" customFormat="1" ht="60.6" customHeight="1" x14ac:dyDescent="0.25">
      <c r="A27" s="67">
        <v>19</v>
      </c>
      <c r="B27" s="91" t="s">
        <v>187</v>
      </c>
      <c r="C27" s="92">
        <f>114600000/1000</f>
        <v>114600</v>
      </c>
      <c r="D27" s="93">
        <f t="shared" si="1"/>
        <v>108965.52499999999</v>
      </c>
      <c r="E27" s="93"/>
      <c r="F27" s="94"/>
      <c r="G27" s="94"/>
      <c r="H27" s="94"/>
      <c r="I27" s="94"/>
      <c r="J27" s="95"/>
      <c r="K27" s="94"/>
      <c r="L27" s="94"/>
      <c r="M27" s="94"/>
      <c r="N27" s="25">
        <v>108965.52499999999</v>
      </c>
      <c r="O27" s="94"/>
      <c r="P27" s="94"/>
      <c r="Q27" s="94"/>
      <c r="R27" s="93"/>
      <c r="S27" s="94"/>
      <c r="T27" s="67"/>
    </row>
    <row r="28" spans="1:20" s="54" customFormat="1" ht="43.8" customHeight="1" x14ac:dyDescent="0.25">
      <c r="A28" s="67">
        <v>20</v>
      </c>
      <c r="B28" s="91" t="s">
        <v>188</v>
      </c>
      <c r="C28" s="92">
        <f>44061000/1000</f>
        <v>44061</v>
      </c>
      <c r="D28" s="93">
        <f t="shared" si="1"/>
        <v>27426.434000000001</v>
      </c>
      <c r="E28" s="93"/>
      <c r="F28" s="94"/>
      <c r="G28" s="94"/>
      <c r="H28" s="94"/>
      <c r="I28" s="94"/>
      <c r="J28" s="95"/>
      <c r="K28" s="94"/>
      <c r="L28" s="94"/>
      <c r="M28" s="94"/>
      <c r="N28" s="25">
        <v>27426.434000000001</v>
      </c>
      <c r="O28" s="94"/>
      <c r="P28" s="94"/>
      <c r="Q28" s="94"/>
      <c r="R28" s="93"/>
      <c r="S28" s="94"/>
      <c r="T28" s="67"/>
    </row>
    <row r="29" spans="1:20" s="54" customFormat="1" ht="49.2" customHeight="1" x14ac:dyDescent="0.25">
      <c r="A29" s="67">
        <v>21</v>
      </c>
      <c r="B29" s="91" t="s">
        <v>189</v>
      </c>
      <c r="C29" s="92">
        <f>20700000/1000</f>
        <v>20700</v>
      </c>
      <c r="D29" s="93">
        <f t="shared" si="1"/>
        <v>11704.317999999999</v>
      </c>
      <c r="E29" s="93"/>
      <c r="F29" s="94"/>
      <c r="G29" s="94"/>
      <c r="H29" s="94"/>
      <c r="I29" s="94"/>
      <c r="J29" s="95"/>
      <c r="K29" s="94"/>
      <c r="L29" s="94"/>
      <c r="M29" s="94"/>
      <c r="N29" s="25">
        <v>11704.317999999999</v>
      </c>
      <c r="O29" s="94"/>
      <c r="P29" s="94"/>
      <c r="Q29" s="94"/>
      <c r="R29" s="93"/>
      <c r="S29" s="94"/>
      <c r="T29" s="67"/>
    </row>
    <row r="30" spans="1:20" s="54" customFormat="1" ht="54" customHeight="1" x14ac:dyDescent="0.25">
      <c r="A30" s="67">
        <v>22</v>
      </c>
      <c r="B30" s="91" t="s">
        <v>190</v>
      </c>
      <c r="C30" s="92">
        <f>109667000/1000</f>
        <v>109667</v>
      </c>
      <c r="D30" s="93">
        <f t="shared" si="1"/>
        <v>90865.612999999998</v>
      </c>
      <c r="E30" s="93"/>
      <c r="F30" s="94"/>
      <c r="G30" s="94"/>
      <c r="H30" s="94"/>
      <c r="I30" s="94"/>
      <c r="J30" s="95"/>
      <c r="K30" s="94"/>
      <c r="L30" s="94"/>
      <c r="M30" s="94"/>
      <c r="N30" s="25">
        <v>90865.612999999998</v>
      </c>
      <c r="O30" s="94"/>
      <c r="P30" s="94"/>
      <c r="Q30" s="94"/>
      <c r="R30" s="93"/>
      <c r="S30" s="94"/>
      <c r="T30" s="67"/>
    </row>
    <row r="31" spans="1:20" s="54" customFormat="1" ht="60.6" customHeight="1" x14ac:dyDescent="0.25">
      <c r="A31" s="67">
        <v>23</v>
      </c>
      <c r="B31" s="91" t="s">
        <v>191</v>
      </c>
      <c r="C31" s="92">
        <f>69000000/1000</f>
        <v>69000</v>
      </c>
      <c r="D31" s="93">
        <f t="shared" si="1"/>
        <v>54948.116999999998</v>
      </c>
      <c r="E31" s="93"/>
      <c r="F31" s="94"/>
      <c r="G31" s="94"/>
      <c r="H31" s="94"/>
      <c r="I31" s="94"/>
      <c r="J31" s="95"/>
      <c r="K31" s="94"/>
      <c r="L31" s="94"/>
      <c r="M31" s="94"/>
      <c r="N31" s="25">
        <v>54948.116999999998</v>
      </c>
      <c r="O31" s="94"/>
      <c r="P31" s="94"/>
      <c r="Q31" s="94"/>
      <c r="R31" s="93"/>
      <c r="S31" s="94"/>
      <c r="T31" s="67"/>
    </row>
    <row r="32" spans="1:20" s="54" customFormat="1" ht="60.6" customHeight="1" x14ac:dyDescent="0.25">
      <c r="A32" s="67">
        <v>24</v>
      </c>
      <c r="B32" s="91" t="s">
        <v>192</v>
      </c>
      <c r="C32" s="92">
        <f>12700000/1000</f>
        <v>12700</v>
      </c>
      <c r="D32" s="93">
        <f t="shared" si="1"/>
        <v>5890.8829999999998</v>
      </c>
      <c r="E32" s="93"/>
      <c r="F32" s="94"/>
      <c r="G32" s="94"/>
      <c r="H32" s="94"/>
      <c r="I32" s="94"/>
      <c r="J32" s="95"/>
      <c r="K32" s="94"/>
      <c r="L32" s="94"/>
      <c r="M32" s="94"/>
      <c r="N32" s="25">
        <v>5890.8829999999998</v>
      </c>
      <c r="O32" s="94"/>
      <c r="P32" s="94"/>
      <c r="Q32" s="94"/>
      <c r="R32" s="93"/>
      <c r="S32" s="94"/>
      <c r="T32" s="67"/>
    </row>
    <row r="33" spans="1:20" s="54" customFormat="1" ht="51" customHeight="1" x14ac:dyDescent="0.25">
      <c r="A33" s="67">
        <v>25</v>
      </c>
      <c r="B33" s="91" t="s">
        <v>193</v>
      </c>
      <c r="C33" s="92">
        <f>213500000/1000</f>
        <v>213500</v>
      </c>
      <c r="D33" s="93">
        <f t="shared" si="1"/>
        <v>30669.606</v>
      </c>
      <c r="E33" s="93"/>
      <c r="F33" s="94"/>
      <c r="G33" s="94"/>
      <c r="H33" s="94"/>
      <c r="I33" s="94"/>
      <c r="J33" s="95"/>
      <c r="K33" s="94"/>
      <c r="L33" s="94"/>
      <c r="M33" s="94"/>
      <c r="N33" s="25">
        <v>30669.606</v>
      </c>
      <c r="O33" s="94"/>
      <c r="P33" s="94"/>
      <c r="Q33" s="94"/>
      <c r="R33" s="93"/>
      <c r="S33" s="94"/>
      <c r="T33" s="67"/>
    </row>
    <row r="34" spans="1:20" s="54" customFormat="1" ht="39" customHeight="1" x14ac:dyDescent="0.25">
      <c r="A34" s="67">
        <v>26</v>
      </c>
      <c r="B34" s="91" t="s">
        <v>194</v>
      </c>
      <c r="C34" s="92">
        <f>101311126/1000</f>
        <v>101311.126</v>
      </c>
      <c r="D34" s="93">
        <f t="shared" si="1"/>
        <v>0</v>
      </c>
      <c r="E34" s="93"/>
      <c r="F34" s="94"/>
      <c r="G34" s="94"/>
      <c r="H34" s="94"/>
      <c r="I34" s="94"/>
      <c r="J34" s="95"/>
      <c r="K34" s="94"/>
      <c r="L34" s="94"/>
      <c r="M34" s="94"/>
      <c r="N34" s="25"/>
      <c r="O34" s="94"/>
      <c r="P34" s="94"/>
      <c r="Q34" s="94"/>
      <c r="R34" s="93"/>
      <c r="S34" s="94"/>
      <c r="T34" s="67"/>
    </row>
    <row r="35" spans="1:20" s="54" customFormat="1" ht="44.4" customHeight="1" x14ac:dyDescent="0.25">
      <c r="A35" s="67">
        <v>27</v>
      </c>
      <c r="B35" s="91" t="s">
        <v>195</v>
      </c>
      <c r="C35" s="92">
        <f>43600000/1000</f>
        <v>43600</v>
      </c>
      <c r="D35" s="93">
        <f t="shared" si="1"/>
        <v>27401.022000000001</v>
      </c>
      <c r="E35" s="93"/>
      <c r="F35" s="94"/>
      <c r="G35" s="94"/>
      <c r="H35" s="94"/>
      <c r="I35" s="94"/>
      <c r="J35" s="95"/>
      <c r="K35" s="94"/>
      <c r="L35" s="94"/>
      <c r="M35" s="94"/>
      <c r="N35" s="25">
        <v>27401.022000000001</v>
      </c>
      <c r="O35" s="94"/>
      <c r="P35" s="94"/>
      <c r="Q35" s="94"/>
      <c r="R35" s="93"/>
      <c r="S35" s="94"/>
      <c r="T35" s="67"/>
    </row>
    <row r="36" spans="1:20" s="54" customFormat="1" ht="60.6" customHeight="1" x14ac:dyDescent="0.25">
      <c r="A36" s="67">
        <v>28</v>
      </c>
      <c r="B36" s="91" t="s">
        <v>196</v>
      </c>
      <c r="C36" s="92">
        <f>81600000/1000</f>
        <v>81600</v>
      </c>
      <c r="D36" s="93">
        <f t="shared" si="1"/>
        <v>64000</v>
      </c>
      <c r="E36" s="93"/>
      <c r="F36" s="94"/>
      <c r="G36" s="94"/>
      <c r="H36" s="94"/>
      <c r="I36" s="94"/>
      <c r="J36" s="95"/>
      <c r="K36" s="94"/>
      <c r="L36" s="94"/>
      <c r="M36" s="94"/>
      <c r="N36" s="25">
        <v>64000</v>
      </c>
      <c r="O36" s="94"/>
      <c r="P36" s="94"/>
      <c r="Q36" s="94"/>
      <c r="R36" s="93"/>
      <c r="S36" s="94"/>
      <c r="T36" s="67"/>
    </row>
    <row r="37" spans="1:20" s="54" customFormat="1" ht="60.6" customHeight="1" x14ac:dyDescent="0.25">
      <c r="A37" s="67">
        <v>29</v>
      </c>
      <c r="B37" s="91" t="s">
        <v>197</v>
      </c>
      <c r="C37" s="92">
        <f>109800000/1000</f>
        <v>109800</v>
      </c>
      <c r="D37" s="93">
        <f t="shared" si="1"/>
        <v>82586.502999999997</v>
      </c>
      <c r="E37" s="93"/>
      <c r="F37" s="94"/>
      <c r="G37" s="94"/>
      <c r="H37" s="94"/>
      <c r="I37" s="94"/>
      <c r="J37" s="95"/>
      <c r="K37" s="94"/>
      <c r="L37" s="94"/>
      <c r="M37" s="94"/>
      <c r="N37" s="25">
        <v>82586.502999999997</v>
      </c>
      <c r="O37" s="94"/>
      <c r="P37" s="94"/>
      <c r="Q37" s="94"/>
      <c r="R37" s="93"/>
      <c r="S37" s="94"/>
      <c r="T37" s="67"/>
    </row>
    <row r="38" spans="1:20" s="54" customFormat="1" ht="60.6" customHeight="1" x14ac:dyDescent="0.25">
      <c r="A38" s="67">
        <v>30</v>
      </c>
      <c r="B38" s="91" t="s">
        <v>198</v>
      </c>
      <c r="C38" s="92">
        <f>141400000/1000</f>
        <v>141400</v>
      </c>
      <c r="D38" s="93">
        <f t="shared" si="1"/>
        <v>129798.57799999999</v>
      </c>
      <c r="E38" s="93"/>
      <c r="F38" s="94"/>
      <c r="G38" s="94"/>
      <c r="H38" s="94"/>
      <c r="I38" s="94"/>
      <c r="J38" s="95"/>
      <c r="K38" s="94"/>
      <c r="L38" s="94"/>
      <c r="M38" s="94"/>
      <c r="N38" s="25">
        <v>129798.57799999999</v>
      </c>
      <c r="O38" s="94"/>
      <c r="P38" s="94"/>
      <c r="Q38" s="94"/>
      <c r="R38" s="93"/>
      <c r="S38" s="94"/>
      <c r="T38" s="67"/>
    </row>
    <row r="39" spans="1:20" s="54" customFormat="1" ht="60.6" customHeight="1" x14ac:dyDescent="0.25">
      <c r="A39" s="67">
        <v>31</v>
      </c>
      <c r="B39" s="91" t="s">
        <v>199</v>
      </c>
      <c r="C39" s="92">
        <f>40400000/1000</f>
        <v>40400</v>
      </c>
      <c r="D39" s="93">
        <f t="shared" si="1"/>
        <v>21881.416000000001</v>
      </c>
      <c r="E39" s="93"/>
      <c r="F39" s="94"/>
      <c r="G39" s="94"/>
      <c r="H39" s="94"/>
      <c r="I39" s="94"/>
      <c r="J39" s="95">
        <v>21881.416000000001</v>
      </c>
      <c r="K39" s="94"/>
      <c r="L39" s="94"/>
      <c r="M39" s="94"/>
      <c r="N39" s="25"/>
      <c r="O39" s="94"/>
      <c r="P39" s="94"/>
      <c r="Q39" s="94"/>
      <c r="R39" s="93"/>
      <c r="S39" s="94"/>
      <c r="T39" s="67"/>
    </row>
    <row r="40" spans="1:20" s="54" customFormat="1" ht="60.6" customHeight="1" x14ac:dyDescent="0.25">
      <c r="A40" s="67">
        <v>32</v>
      </c>
      <c r="B40" s="91" t="s">
        <v>200</v>
      </c>
      <c r="C40" s="92">
        <f>41400000/1000</f>
        <v>41400</v>
      </c>
      <c r="D40" s="93">
        <f t="shared" si="1"/>
        <v>26185.293000000001</v>
      </c>
      <c r="E40" s="93"/>
      <c r="F40" s="94"/>
      <c r="G40" s="94"/>
      <c r="H40" s="94"/>
      <c r="I40" s="94"/>
      <c r="J40" s="95"/>
      <c r="K40" s="94"/>
      <c r="L40" s="94"/>
      <c r="M40" s="94"/>
      <c r="N40" s="25">
        <v>26185.293000000001</v>
      </c>
      <c r="O40" s="94"/>
      <c r="P40" s="94"/>
      <c r="Q40" s="94"/>
      <c r="R40" s="93"/>
      <c r="S40" s="94"/>
      <c r="T40" s="67"/>
    </row>
    <row r="41" spans="1:20" s="54" customFormat="1" ht="48" customHeight="1" x14ac:dyDescent="0.25">
      <c r="A41" s="67">
        <v>33</v>
      </c>
      <c r="B41" s="91" t="s">
        <v>201</v>
      </c>
      <c r="C41" s="92">
        <f>183600000/1000</f>
        <v>183600</v>
      </c>
      <c r="D41" s="93">
        <f t="shared" si="1"/>
        <v>169983.03400000001</v>
      </c>
      <c r="E41" s="93"/>
      <c r="F41" s="94"/>
      <c r="G41" s="94"/>
      <c r="H41" s="94"/>
      <c r="I41" s="94"/>
      <c r="J41" s="95">
        <v>169983.03400000001</v>
      </c>
      <c r="K41" s="94"/>
      <c r="L41" s="94"/>
      <c r="M41" s="94"/>
      <c r="N41" s="25"/>
      <c r="O41" s="94"/>
      <c r="P41" s="94"/>
      <c r="Q41" s="94"/>
      <c r="R41" s="93"/>
      <c r="S41" s="94"/>
      <c r="T41" s="67"/>
    </row>
    <row r="42" spans="1:20" s="54" customFormat="1" ht="46.2" customHeight="1" x14ac:dyDescent="0.25">
      <c r="A42" s="67">
        <v>34</v>
      </c>
      <c r="B42" s="91" t="s">
        <v>202</v>
      </c>
      <c r="C42" s="92">
        <f>412900000/1000</f>
        <v>412900</v>
      </c>
      <c r="D42" s="93">
        <f t="shared" si="1"/>
        <v>313511</v>
      </c>
      <c r="E42" s="93"/>
      <c r="F42" s="94"/>
      <c r="G42" s="94"/>
      <c r="H42" s="94"/>
      <c r="I42" s="94"/>
      <c r="J42" s="95"/>
      <c r="K42" s="94"/>
      <c r="L42" s="94"/>
      <c r="M42" s="94"/>
      <c r="N42" s="25">
        <v>313511</v>
      </c>
      <c r="O42" s="94"/>
      <c r="P42" s="94"/>
      <c r="Q42" s="94"/>
      <c r="R42" s="93"/>
      <c r="S42" s="94"/>
      <c r="T42" s="67"/>
    </row>
    <row r="43" spans="1:20" s="54" customFormat="1" ht="41.4" customHeight="1" x14ac:dyDescent="0.25">
      <c r="A43" s="67">
        <v>35</v>
      </c>
      <c r="B43" s="91" t="s">
        <v>203</v>
      </c>
      <c r="C43" s="92">
        <f>315000000/1000</f>
        <v>315000</v>
      </c>
      <c r="D43" s="93">
        <f t="shared" si="1"/>
        <v>258900</v>
      </c>
      <c r="E43" s="93"/>
      <c r="F43" s="94"/>
      <c r="G43" s="94"/>
      <c r="H43" s="94"/>
      <c r="I43" s="94"/>
      <c r="J43" s="95"/>
      <c r="K43" s="94"/>
      <c r="L43" s="94"/>
      <c r="M43" s="94"/>
      <c r="N43" s="25">
        <v>258900</v>
      </c>
      <c r="O43" s="94"/>
      <c r="P43" s="94"/>
      <c r="Q43" s="94"/>
      <c r="R43" s="93"/>
      <c r="S43" s="94"/>
      <c r="T43" s="67"/>
    </row>
    <row r="44" spans="1:20" s="54" customFormat="1" ht="60.6" customHeight="1" x14ac:dyDescent="0.25">
      <c r="A44" s="67">
        <v>36</v>
      </c>
      <c r="B44" s="91" t="s">
        <v>204</v>
      </c>
      <c r="C44" s="92">
        <f>480000000/1000</f>
        <v>480000</v>
      </c>
      <c r="D44" s="93">
        <f t="shared" si="1"/>
        <v>413600</v>
      </c>
      <c r="E44" s="93"/>
      <c r="F44" s="94"/>
      <c r="G44" s="94"/>
      <c r="H44" s="94"/>
      <c r="I44" s="94"/>
      <c r="J44" s="95"/>
      <c r="K44" s="94"/>
      <c r="L44" s="94"/>
      <c r="M44" s="94"/>
      <c r="N44" s="25">
        <v>413600</v>
      </c>
      <c r="O44" s="94"/>
      <c r="P44" s="94"/>
      <c r="Q44" s="94"/>
      <c r="R44" s="93"/>
      <c r="S44" s="94"/>
      <c r="T44" s="67"/>
    </row>
    <row r="45" spans="1:20" s="54" customFormat="1" ht="52.8" customHeight="1" x14ac:dyDescent="0.25">
      <c r="A45" s="67">
        <v>37</v>
      </c>
      <c r="B45" s="91" t="s">
        <v>205</v>
      </c>
      <c r="C45" s="92">
        <f>441000000/1000</f>
        <v>441000</v>
      </c>
      <c r="D45" s="93">
        <f t="shared" si="1"/>
        <v>253464</v>
      </c>
      <c r="E45" s="93"/>
      <c r="F45" s="94"/>
      <c r="G45" s="94"/>
      <c r="H45" s="94"/>
      <c r="I45" s="94"/>
      <c r="J45" s="95"/>
      <c r="K45" s="94"/>
      <c r="L45" s="94"/>
      <c r="M45" s="94"/>
      <c r="N45" s="25">
        <v>253464</v>
      </c>
      <c r="O45" s="94"/>
      <c r="P45" s="94"/>
      <c r="Q45" s="94"/>
      <c r="R45" s="93"/>
      <c r="S45" s="94"/>
      <c r="T45" s="67"/>
    </row>
    <row r="46" spans="1:20" s="54" customFormat="1" ht="45.6" customHeight="1" x14ac:dyDescent="0.25">
      <c r="A46" s="67">
        <v>38</v>
      </c>
      <c r="B46" s="91" t="s">
        <v>206</v>
      </c>
      <c r="C46" s="92">
        <v>6588700</v>
      </c>
      <c r="D46" s="93">
        <f t="shared" si="1"/>
        <v>5653258.6840000004</v>
      </c>
      <c r="E46" s="93"/>
      <c r="F46" s="94"/>
      <c r="G46" s="94"/>
      <c r="H46" s="94"/>
      <c r="I46" s="94"/>
      <c r="J46" s="95"/>
      <c r="K46" s="94"/>
      <c r="L46" s="94"/>
      <c r="M46" s="94"/>
      <c r="N46" s="93">
        <v>5653258.6840000004</v>
      </c>
      <c r="O46" s="94"/>
      <c r="P46" s="94"/>
      <c r="Q46" s="94"/>
      <c r="R46" s="93"/>
      <c r="S46" s="94"/>
      <c r="T46" s="67"/>
    </row>
    <row r="47" spans="1:20" s="54" customFormat="1" ht="44.4" customHeight="1" x14ac:dyDescent="0.25">
      <c r="A47" s="67">
        <v>39</v>
      </c>
      <c r="B47" s="91" t="s">
        <v>207</v>
      </c>
      <c r="C47" s="92">
        <f>59540000/1000</f>
        <v>59540</v>
      </c>
      <c r="D47" s="93">
        <f t="shared" si="1"/>
        <v>52618</v>
      </c>
      <c r="E47" s="93"/>
      <c r="F47" s="94"/>
      <c r="G47" s="94"/>
      <c r="H47" s="94"/>
      <c r="I47" s="94"/>
      <c r="J47" s="95"/>
      <c r="K47" s="94"/>
      <c r="L47" s="94"/>
      <c r="M47" s="94"/>
      <c r="N47" s="25">
        <v>52618</v>
      </c>
      <c r="O47" s="94"/>
      <c r="P47" s="94"/>
      <c r="Q47" s="94"/>
      <c r="R47" s="93"/>
      <c r="S47" s="94"/>
      <c r="T47" s="67"/>
    </row>
    <row r="48" spans="1:20" s="54" customFormat="1" ht="44.4" customHeight="1" x14ac:dyDescent="0.25">
      <c r="A48" s="67">
        <v>40</v>
      </c>
      <c r="B48" s="91" t="s">
        <v>208</v>
      </c>
      <c r="C48" s="92">
        <f>210000000/1000</f>
        <v>210000</v>
      </c>
      <c r="D48" s="93">
        <f t="shared" si="1"/>
        <v>185166</v>
      </c>
      <c r="E48" s="93"/>
      <c r="F48" s="94"/>
      <c r="G48" s="94"/>
      <c r="H48" s="94"/>
      <c r="I48" s="94"/>
      <c r="J48" s="95"/>
      <c r="K48" s="94"/>
      <c r="L48" s="94"/>
      <c r="M48" s="94"/>
      <c r="N48" s="25">
        <v>185166</v>
      </c>
      <c r="O48" s="94"/>
      <c r="P48" s="94"/>
      <c r="Q48" s="94"/>
      <c r="R48" s="93"/>
      <c r="S48" s="94"/>
      <c r="T48" s="67"/>
    </row>
    <row r="49" spans="1:20" s="54" customFormat="1" ht="44.4" customHeight="1" x14ac:dyDescent="0.25">
      <c r="A49" s="67">
        <v>41</v>
      </c>
      <c r="B49" s="91" t="s">
        <v>209</v>
      </c>
      <c r="C49" s="92">
        <f>589620000/1000</f>
        <v>589620</v>
      </c>
      <c r="D49" s="93">
        <f t="shared" si="1"/>
        <v>520601</v>
      </c>
      <c r="E49" s="93"/>
      <c r="F49" s="94"/>
      <c r="G49" s="94"/>
      <c r="H49" s="94"/>
      <c r="I49" s="94"/>
      <c r="J49" s="95"/>
      <c r="K49" s="94"/>
      <c r="L49" s="94"/>
      <c r="M49" s="94"/>
      <c r="N49" s="25">
        <v>520601</v>
      </c>
      <c r="O49" s="94"/>
      <c r="P49" s="94"/>
      <c r="Q49" s="94"/>
      <c r="R49" s="93"/>
      <c r="S49" s="94"/>
      <c r="T49" s="67"/>
    </row>
    <row r="50" spans="1:20" s="54" customFormat="1" ht="52.2" customHeight="1" x14ac:dyDescent="0.25">
      <c r="A50" s="67">
        <v>42</v>
      </c>
      <c r="B50" s="91" t="s">
        <v>210</v>
      </c>
      <c r="C50" s="92">
        <f>330800000/1000</f>
        <v>330800</v>
      </c>
      <c r="D50" s="93">
        <f t="shared" si="1"/>
        <v>270000</v>
      </c>
      <c r="E50" s="93"/>
      <c r="F50" s="94"/>
      <c r="G50" s="94"/>
      <c r="H50" s="94"/>
      <c r="I50" s="94"/>
      <c r="J50" s="95"/>
      <c r="K50" s="94"/>
      <c r="L50" s="94"/>
      <c r="M50" s="94"/>
      <c r="N50" s="25">
        <v>270000</v>
      </c>
      <c r="O50" s="94"/>
      <c r="P50" s="94"/>
      <c r="Q50" s="94"/>
      <c r="R50" s="93"/>
      <c r="S50" s="94"/>
      <c r="T50" s="67"/>
    </row>
    <row r="51" spans="1:20" s="54" customFormat="1" ht="53.4" customHeight="1" x14ac:dyDescent="0.25">
      <c r="A51" s="67">
        <v>43</v>
      </c>
      <c r="B51" s="91" t="s">
        <v>211</v>
      </c>
      <c r="C51" s="92">
        <f>522300000/1000</f>
        <v>522300</v>
      </c>
      <c r="D51" s="93">
        <f t="shared" si="1"/>
        <v>461000</v>
      </c>
      <c r="E51" s="93"/>
      <c r="F51" s="94"/>
      <c r="G51" s="94"/>
      <c r="H51" s="94"/>
      <c r="I51" s="94"/>
      <c r="J51" s="95"/>
      <c r="K51" s="94"/>
      <c r="L51" s="94"/>
      <c r="M51" s="94"/>
      <c r="N51" s="25">
        <v>461000</v>
      </c>
      <c r="O51" s="94"/>
      <c r="P51" s="94"/>
      <c r="Q51" s="94"/>
      <c r="R51" s="93"/>
      <c r="S51" s="94"/>
      <c r="T51" s="67"/>
    </row>
    <row r="52" spans="1:20" s="54" customFormat="1" ht="47.4" customHeight="1" x14ac:dyDescent="0.25">
      <c r="A52" s="67">
        <v>44</v>
      </c>
      <c r="B52" s="91" t="s">
        <v>212</v>
      </c>
      <c r="C52" s="92">
        <v>742400</v>
      </c>
      <c r="D52" s="93">
        <f t="shared" si="1"/>
        <v>651282</v>
      </c>
      <c r="E52" s="93"/>
      <c r="F52" s="94"/>
      <c r="G52" s="94"/>
      <c r="H52" s="94"/>
      <c r="I52" s="94"/>
      <c r="J52" s="95"/>
      <c r="K52" s="94"/>
      <c r="L52" s="94"/>
      <c r="M52" s="94"/>
      <c r="N52" s="25">
        <v>651282</v>
      </c>
      <c r="O52" s="94"/>
      <c r="P52" s="94"/>
      <c r="Q52" s="94"/>
      <c r="R52" s="93"/>
      <c r="S52" s="94"/>
      <c r="T52" s="67"/>
    </row>
    <row r="53" spans="1:20" s="54" customFormat="1" ht="60.6" customHeight="1" x14ac:dyDescent="0.25">
      <c r="A53" s="67">
        <v>45</v>
      </c>
      <c r="B53" s="91" t="s">
        <v>213</v>
      </c>
      <c r="C53" s="92">
        <v>138410</v>
      </c>
      <c r="D53" s="93">
        <f t="shared" si="1"/>
        <v>128000</v>
      </c>
      <c r="E53" s="93"/>
      <c r="F53" s="94"/>
      <c r="G53" s="94"/>
      <c r="H53" s="94"/>
      <c r="I53" s="94"/>
      <c r="J53" s="95"/>
      <c r="K53" s="94"/>
      <c r="L53" s="94"/>
      <c r="M53" s="94"/>
      <c r="N53" s="25">
        <v>128000</v>
      </c>
      <c r="O53" s="94"/>
      <c r="P53" s="94"/>
      <c r="Q53" s="94"/>
      <c r="R53" s="93"/>
      <c r="S53" s="94"/>
      <c r="T53" s="67"/>
    </row>
    <row r="54" spans="1:20" s="54" customFormat="1" ht="60.6" customHeight="1" x14ac:dyDescent="0.25">
      <c r="A54" s="67">
        <v>46</v>
      </c>
      <c r="B54" s="91" t="s">
        <v>214</v>
      </c>
      <c r="C54" s="92">
        <f>158000000/1000</f>
        <v>158000</v>
      </c>
      <c r="D54" s="93">
        <f t="shared" si="1"/>
        <v>134700</v>
      </c>
      <c r="E54" s="93"/>
      <c r="F54" s="94"/>
      <c r="G54" s="94"/>
      <c r="H54" s="94"/>
      <c r="I54" s="94"/>
      <c r="J54" s="95"/>
      <c r="K54" s="94"/>
      <c r="L54" s="94"/>
      <c r="M54" s="94"/>
      <c r="N54" s="25">
        <v>134700</v>
      </c>
      <c r="O54" s="94"/>
      <c r="P54" s="94"/>
      <c r="Q54" s="94"/>
      <c r="R54" s="93"/>
      <c r="S54" s="94"/>
      <c r="T54" s="67"/>
    </row>
    <row r="55" spans="1:20" s="54" customFormat="1" ht="53.4" customHeight="1" x14ac:dyDescent="0.25">
      <c r="A55" s="67">
        <v>47</v>
      </c>
      <c r="B55" s="91" t="s">
        <v>215</v>
      </c>
      <c r="C55" s="92">
        <f>295000000/1000</f>
        <v>295000</v>
      </c>
      <c r="D55" s="93">
        <f t="shared" si="1"/>
        <v>252900</v>
      </c>
      <c r="E55" s="93"/>
      <c r="F55" s="94"/>
      <c r="G55" s="94"/>
      <c r="H55" s="94"/>
      <c r="I55" s="94"/>
      <c r="J55" s="95"/>
      <c r="K55" s="94"/>
      <c r="L55" s="94"/>
      <c r="M55" s="94"/>
      <c r="N55" s="25">
        <v>252900</v>
      </c>
      <c r="O55" s="94"/>
      <c r="P55" s="94"/>
      <c r="Q55" s="94"/>
      <c r="R55" s="93"/>
      <c r="S55" s="94"/>
      <c r="T55" s="67"/>
    </row>
    <row r="56" spans="1:20" s="54" customFormat="1" ht="46.8" customHeight="1" x14ac:dyDescent="0.25">
      <c r="A56" s="97">
        <v>48</v>
      </c>
      <c r="B56" s="98" t="s">
        <v>216</v>
      </c>
      <c r="C56" s="92">
        <f>220500000/1000</f>
        <v>220500</v>
      </c>
      <c r="D56" s="93">
        <f t="shared" si="1"/>
        <v>189000</v>
      </c>
      <c r="E56" s="93"/>
      <c r="F56" s="99"/>
      <c r="G56" s="99"/>
      <c r="H56" s="99"/>
      <c r="I56" s="99"/>
      <c r="J56" s="95"/>
      <c r="K56" s="99"/>
      <c r="L56" s="99"/>
      <c r="M56" s="99"/>
      <c r="N56" s="100">
        <v>189000</v>
      </c>
      <c r="O56" s="99"/>
      <c r="P56" s="99"/>
      <c r="Q56" s="99"/>
      <c r="R56" s="93"/>
      <c r="S56" s="99"/>
      <c r="T56" s="97"/>
    </row>
    <row r="57" spans="1:20" s="54" customFormat="1" ht="46.8" customHeight="1" x14ac:dyDescent="0.25">
      <c r="A57" s="67">
        <v>49</v>
      </c>
      <c r="B57" s="68" t="s">
        <v>217</v>
      </c>
      <c r="C57" s="92">
        <v>341970</v>
      </c>
      <c r="D57" s="93">
        <f t="shared" si="1"/>
        <v>289800</v>
      </c>
      <c r="E57" s="93"/>
      <c r="F57" s="101"/>
      <c r="G57" s="101"/>
      <c r="H57" s="101"/>
      <c r="I57" s="101"/>
      <c r="J57" s="95"/>
      <c r="K57" s="101"/>
      <c r="L57" s="101"/>
      <c r="M57" s="101"/>
      <c r="N57" s="102">
        <v>289800</v>
      </c>
      <c r="O57" s="101"/>
      <c r="P57" s="101"/>
      <c r="Q57" s="101"/>
      <c r="R57" s="93"/>
      <c r="S57" s="101"/>
      <c r="T57" s="103"/>
    </row>
    <row r="58" spans="1:20" s="54" customFormat="1" ht="46.8" customHeight="1" x14ac:dyDescent="0.25">
      <c r="A58" s="67">
        <v>50</v>
      </c>
      <c r="B58" s="68" t="s">
        <v>218</v>
      </c>
      <c r="C58" s="92">
        <f>299900000/1000</f>
        <v>299900</v>
      </c>
      <c r="D58" s="93">
        <f t="shared" si="1"/>
        <v>252900</v>
      </c>
      <c r="E58" s="93"/>
      <c r="F58" s="101"/>
      <c r="G58" s="101"/>
      <c r="H58" s="101"/>
      <c r="I58" s="101"/>
      <c r="J58" s="95"/>
      <c r="K58" s="101"/>
      <c r="L58" s="101"/>
      <c r="M58" s="101"/>
      <c r="N58" s="102">
        <v>252900</v>
      </c>
      <c r="O58" s="101"/>
      <c r="P58" s="101"/>
      <c r="Q58" s="101"/>
      <c r="R58" s="93"/>
      <c r="S58" s="101"/>
      <c r="T58" s="103"/>
    </row>
    <row r="59" spans="1:20" s="54" customFormat="1" ht="46.8" customHeight="1" x14ac:dyDescent="0.25">
      <c r="A59" s="67">
        <v>51</v>
      </c>
      <c r="B59" s="68" t="s">
        <v>219</v>
      </c>
      <c r="C59" s="92">
        <f>126860000/1000</f>
        <v>126860</v>
      </c>
      <c r="D59" s="93">
        <f t="shared" si="1"/>
        <v>107000</v>
      </c>
      <c r="E59" s="93"/>
      <c r="F59" s="101"/>
      <c r="G59" s="101"/>
      <c r="H59" s="101"/>
      <c r="I59" s="101"/>
      <c r="J59" s="95"/>
      <c r="K59" s="101"/>
      <c r="L59" s="101"/>
      <c r="M59" s="101"/>
      <c r="N59" s="102">
        <v>107000</v>
      </c>
      <c r="O59" s="101"/>
      <c r="P59" s="101"/>
      <c r="Q59" s="101"/>
      <c r="R59" s="93"/>
      <c r="S59" s="101"/>
      <c r="T59" s="103"/>
    </row>
    <row r="60" spans="1:20" s="54" customFormat="1" ht="46.8" customHeight="1" x14ac:dyDescent="0.25">
      <c r="A60" s="67">
        <v>52</v>
      </c>
      <c r="B60" s="68" t="s">
        <v>220</v>
      </c>
      <c r="C60" s="92">
        <f>244800000/1000</f>
        <v>244800</v>
      </c>
      <c r="D60" s="93">
        <f t="shared" si="1"/>
        <v>0</v>
      </c>
      <c r="E60" s="93"/>
      <c r="F60" s="101"/>
      <c r="G60" s="101"/>
      <c r="H60" s="101"/>
      <c r="I60" s="101"/>
      <c r="J60" s="95"/>
      <c r="K60" s="101"/>
      <c r="L60" s="101"/>
      <c r="M60" s="101"/>
      <c r="N60" s="102"/>
      <c r="O60" s="101"/>
      <c r="P60" s="101"/>
      <c r="Q60" s="101"/>
      <c r="R60" s="93"/>
      <c r="S60" s="101"/>
      <c r="T60" s="103"/>
    </row>
    <row r="61" spans="1:20" s="54" customFormat="1" ht="46.8" customHeight="1" x14ac:dyDescent="0.25">
      <c r="A61" s="67">
        <v>53</v>
      </c>
      <c r="B61" s="68" t="s">
        <v>221</v>
      </c>
      <c r="C61" s="92">
        <f>257300000/1000</f>
        <v>257300</v>
      </c>
      <c r="D61" s="93">
        <f t="shared" si="1"/>
        <v>225000</v>
      </c>
      <c r="E61" s="93"/>
      <c r="F61" s="101"/>
      <c r="G61" s="101"/>
      <c r="H61" s="101"/>
      <c r="I61" s="101"/>
      <c r="J61" s="95"/>
      <c r="K61" s="101"/>
      <c r="L61" s="101"/>
      <c r="M61" s="101"/>
      <c r="N61" s="102">
        <v>225000</v>
      </c>
      <c r="O61" s="101"/>
      <c r="P61" s="101"/>
      <c r="Q61" s="101"/>
      <c r="R61" s="93"/>
      <c r="S61" s="101"/>
      <c r="T61" s="103"/>
    </row>
    <row r="62" spans="1:20" s="54" customFormat="1" ht="46.8" customHeight="1" x14ac:dyDescent="0.25">
      <c r="A62" s="67">
        <v>54</v>
      </c>
      <c r="B62" s="68" t="s">
        <v>222</v>
      </c>
      <c r="C62" s="92">
        <f>43950000/1000</f>
        <v>43950</v>
      </c>
      <c r="D62" s="93">
        <f t="shared" si="1"/>
        <v>38500</v>
      </c>
      <c r="E62" s="93"/>
      <c r="F62" s="101"/>
      <c r="G62" s="101"/>
      <c r="H62" s="101"/>
      <c r="I62" s="101"/>
      <c r="J62" s="95"/>
      <c r="K62" s="101"/>
      <c r="L62" s="101"/>
      <c r="M62" s="101"/>
      <c r="N62" s="102">
        <v>38500</v>
      </c>
      <c r="O62" s="101"/>
      <c r="P62" s="101"/>
      <c r="Q62" s="101"/>
      <c r="R62" s="93"/>
      <c r="S62" s="101"/>
      <c r="T62" s="103"/>
    </row>
    <row r="63" spans="1:20" s="54" customFormat="1" ht="46.8" customHeight="1" x14ac:dyDescent="0.25">
      <c r="A63" s="67">
        <v>55</v>
      </c>
      <c r="B63" s="68" t="s">
        <v>223</v>
      </c>
      <c r="C63" s="92">
        <f>257300000/1000</f>
        <v>257300</v>
      </c>
      <c r="D63" s="93">
        <f t="shared" si="1"/>
        <v>191000</v>
      </c>
      <c r="E63" s="93"/>
      <c r="F63" s="101"/>
      <c r="G63" s="101"/>
      <c r="H63" s="101"/>
      <c r="I63" s="101"/>
      <c r="J63" s="95"/>
      <c r="K63" s="101"/>
      <c r="L63" s="101"/>
      <c r="M63" s="101"/>
      <c r="N63" s="102">
        <v>191000</v>
      </c>
      <c r="O63" s="101"/>
      <c r="P63" s="101"/>
      <c r="Q63" s="101"/>
      <c r="R63" s="93"/>
      <c r="S63" s="101"/>
      <c r="T63" s="103"/>
    </row>
    <row r="64" spans="1:20" s="54" customFormat="1" ht="46.8" customHeight="1" x14ac:dyDescent="0.25">
      <c r="A64" s="67">
        <v>56</v>
      </c>
      <c r="B64" s="68" t="s">
        <v>224</v>
      </c>
      <c r="C64" s="92">
        <f>330800000/1000</f>
        <v>330800</v>
      </c>
      <c r="D64" s="93">
        <f t="shared" si="1"/>
        <v>295000</v>
      </c>
      <c r="E64" s="93"/>
      <c r="F64" s="101"/>
      <c r="G64" s="101"/>
      <c r="H64" s="101"/>
      <c r="I64" s="101"/>
      <c r="J64" s="95"/>
      <c r="K64" s="101"/>
      <c r="L64" s="101"/>
      <c r="M64" s="101"/>
      <c r="N64" s="102">
        <v>295000</v>
      </c>
      <c r="O64" s="101"/>
      <c r="P64" s="101"/>
      <c r="Q64" s="101"/>
      <c r="R64" s="93"/>
      <c r="S64" s="101"/>
      <c r="T64" s="103"/>
    </row>
    <row r="65" spans="1:20" s="54" customFormat="1" ht="46.8" customHeight="1" x14ac:dyDescent="0.25">
      <c r="A65" s="67">
        <v>57</v>
      </c>
      <c r="B65" s="68" t="s">
        <v>225</v>
      </c>
      <c r="C65" s="92">
        <f>1441700000/1000</f>
        <v>1441700</v>
      </c>
      <c r="D65" s="93">
        <f t="shared" si="1"/>
        <v>1269000</v>
      </c>
      <c r="E65" s="93"/>
      <c r="F65" s="101"/>
      <c r="G65" s="101"/>
      <c r="H65" s="101"/>
      <c r="I65" s="101"/>
      <c r="J65" s="95"/>
      <c r="K65" s="101"/>
      <c r="L65" s="101"/>
      <c r="M65" s="101"/>
      <c r="N65" s="102">
        <v>1269000</v>
      </c>
      <c r="O65" s="101"/>
      <c r="P65" s="101"/>
      <c r="Q65" s="101"/>
      <c r="R65" s="93"/>
      <c r="S65" s="101"/>
      <c r="T65" s="103"/>
    </row>
    <row r="66" spans="1:20" s="54" customFormat="1" ht="46.8" customHeight="1" x14ac:dyDescent="0.25">
      <c r="A66" s="67">
        <v>58</v>
      </c>
      <c r="B66" s="68" t="s">
        <v>226</v>
      </c>
      <c r="C66" s="92">
        <v>77352.115000000005</v>
      </c>
      <c r="D66" s="93">
        <f t="shared" si="1"/>
        <v>76947.827000000005</v>
      </c>
      <c r="E66" s="93"/>
      <c r="F66" s="101"/>
      <c r="G66" s="101"/>
      <c r="H66" s="101"/>
      <c r="I66" s="101"/>
      <c r="J66" s="95"/>
      <c r="K66" s="101"/>
      <c r="L66" s="101"/>
      <c r="M66" s="101"/>
      <c r="N66" s="102">
        <v>76947.827000000005</v>
      </c>
      <c r="O66" s="101"/>
      <c r="P66" s="101"/>
      <c r="Q66" s="101"/>
      <c r="R66" s="93"/>
      <c r="S66" s="101"/>
      <c r="T66" s="103"/>
    </row>
    <row r="67" spans="1:20" s="54" customFormat="1" ht="46.8" customHeight="1" x14ac:dyDescent="0.25">
      <c r="A67" s="67">
        <v>59</v>
      </c>
      <c r="B67" s="68" t="s">
        <v>227</v>
      </c>
      <c r="C67" s="92">
        <f>137955264/1000</f>
        <v>137955.264</v>
      </c>
      <c r="D67" s="93">
        <f t="shared" si="1"/>
        <v>132478</v>
      </c>
      <c r="E67" s="93"/>
      <c r="F67" s="101"/>
      <c r="G67" s="101"/>
      <c r="H67" s="101"/>
      <c r="I67" s="101"/>
      <c r="J67" s="95"/>
      <c r="K67" s="101"/>
      <c r="L67" s="101"/>
      <c r="M67" s="101"/>
      <c r="N67" s="102">
        <v>132478</v>
      </c>
      <c r="O67" s="101"/>
      <c r="P67" s="101"/>
      <c r="Q67" s="101"/>
      <c r="R67" s="93"/>
      <c r="S67" s="101"/>
      <c r="T67" s="103"/>
    </row>
    <row r="68" spans="1:20" s="54" customFormat="1" ht="46.8" customHeight="1" x14ac:dyDescent="0.25">
      <c r="A68" s="67">
        <v>60</v>
      </c>
      <c r="B68" s="68" t="s">
        <v>228</v>
      </c>
      <c r="C68" s="92">
        <f>1016000000/1000</f>
        <v>1016000</v>
      </c>
      <c r="D68" s="93">
        <f t="shared" si="1"/>
        <v>910000</v>
      </c>
      <c r="E68" s="93"/>
      <c r="F68" s="101"/>
      <c r="G68" s="101"/>
      <c r="H68" s="101"/>
      <c r="I68" s="101"/>
      <c r="J68" s="95"/>
      <c r="K68" s="101"/>
      <c r="L68" s="101"/>
      <c r="M68" s="101"/>
      <c r="N68" s="102">
        <v>910000</v>
      </c>
      <c r="O68" s="101"/>
      <c r="P68" s="101"/>
      <c r="Q68" s="101"/>
      <c r="R68" s="93"/>
      <c r="S68" s="101"/>
      <c r="T68" s="103"/>
    </row>
  </sheetData>
  <mergeCells count="23">
    <mergeCell ref="A1:E1"/>
    <mergeCell ref="A2:T2"/>
    <mergeCell ref="A3:T3"/>
    <mergeCell ref="A5:A6"/>
    <mergeCell ref="B5:B6"/>
    <mergeCell ref="C5:C6"/>
    <mergeCell ref="D5:D6"/>
    <mergeCell ref="E5:E6"/>
    <mergeCell ref="F5:F6"/>
    <mergeCell ref="G5:G6"/>
    <mergeCell ref="S5:S6"/>
    <mergeCell ref="T5:T6"/>
    <mergeCell ref="H5:H6"/>
    <mergeCell ref="I5:I6"/>
    <mergeCell ref="J5:J6"/>
    <mergeCell ref="K5:K6"/>
    <mergeCell ref="L5:L6"/>
    <mergeCell ref="M5:M6"/>
    <mergeCell ref="A8:B8"/>
    <mergeCell ref="N5:N6"/>
    <mergeCell ref="O5:P5"/>
    <mergeCell ref="Q5:Q6"/>
    <mergeCell ref="R5:R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DF6B-3B19-43E6-B90F-6D1110F2C89E}">
  <dimension ref="A1:V98"/>
  <sheetViews>
    <sheetView topLeftCell="A4" zoomScale="91" zoomScaleNormal="91" workbookViewId="0">
      <selection activeCell="J18" sqref="J18"/>
    </sheetView>
  </sheetViews>
  <sheetFormatPr defaultRowHeight="13.2" x14ac:dyDescent="0.35"/>
  <cols>
    <col min="1" max="1" width="4.36328125" style="104" customWidth="1"/>
    <col min="2" max="2" width="26.453125" style="104" customWidth="1"/>
    <col min="3" max="3" width="12" style="104" customWidth="1"/>
    <col min="4" max="4" width="10.81640625" style="104" customWidth="1"/>
    <col min="5" max="5" width="10.7265625" style="104" customWidth="1"/>
    <col min="6" max="6" width="10.453125" style="104" customWidth="1"/>
    <col min="7" max="7" width="10.7265625" style="104" customWidth="1"/>
    <col min="8" max="9" width="10.08984375" style="104" bestFit="1" customWidth="1"/>
    <col min="10" max="10" width="8.36328125" style="104" customWidth="1"/>
    <col min="11" max="11" width="12.1796875" style="104" bestFit="1" customWidth="1"/>
    <col min="12" max="12" width="11.08984375" style="104" customWidth="1"/>
    <col min="13" max="13" width="8.6328125" style="104" customWidth="1"/>
    <col min="14" max="15" width="10.1796875" style="104" bestFit="1" customWidth="1"/>
    <col min="16" max="16" width="9.36328125" style="104" bestFit="1" customWidth="1"/>
    <col min="17" max="18" width="8.36328125" style="104" customWidth="1"/>
    <col min="19" max="20" width="8.7265625" style="104"/>
    <col min="21" max="21" width="7.453125" style="104" bestFit="1" customWidth="1"/>
    <col min="22" max="16384" width="8.7265625" style="104"/>
  </cols>
  <sheetData>
    <row r="1" spans="1:22" x14ac:dyDescent="0.35">
      <c r="U1" s="105" t="s">
        <v>252</v>
      </c>
    </row>
    <row r="2" spans="1:22" x14ac:dyDescent="0.35">
      <c r="A2" s="291" t="s">
        <v>253</v>
      </c>
      <c r="B2" s="291"/>
      <c r="C2" s="291"/>
      <c r="D2" s="291"/>
      <c r="E2" s="291"/>
      <c r="F2" s="291"/>
      <c r="G2" s="291"/>
      <c r="H2" s="291"/>
      <c r="I2" s="291"/>
      <c r="J2" s="291"/>
      <c r="K2" s="291"/>
      <c r="L2" s="291"/>
      <c r="M2" s="291"/>
      <c r="N2" s="291"/>
      <c r="O2" s="291"/>
      <c r="P2" s="291"/>
      <c r="Q2" s="291"/>
      <c r="R2" s="291"/>
      <c r="S2" s="291"/>
      <c r="T2" s="291"/>
      <c r="U2" s="291"/>
    </row>
    <row r="3" spans="1:22" x14ac:dyDescent="0.35">
      <c r="A3" s="291" t="s">
        <v>254</v>
      </c>
      <c r="B3" s="291"/>
      <c r="C3" s="291"/>
      <c r="D3" s="291"/>
      <c r="E3" s="291"/>
      <c r="F3" s="291"/>
      <c r="G3" s="291"/>
      <c r="H3" s="291"/>
      <c r="I3" s="291"/>
      <c r="J3" s="291"/>
      <c r="K3" s="291"/>
      <c r="L3" s="291"/>
      <c r="M3" s="291"/>
      <c r="N3" s="291"/>
      <c r="O3" s="291"/>
      <c r="P3" s="291"/>
      <c r="Q3" s="291"/>
      <c r="R3" s="291"/>
      <c r="S3" s="291"/>
      <c r="T3" s="291"/>
      <c r="U3" s="291"/>
    </row>
    <row r="4" spans="1:22" x14ac:dyDescent="0.35">
      <c r="U4" s="106" t="s">
        <v>2</v>
      </c>
    </row>
    <row r="5" spans="1:22" ht="21.6" customHeight="1" x14ac:dyDescent="0.35">
      <c r="A5" s="247" t="s">
        <v>3</v>
      </c>
      <c r="B5" s="247" t="s">
        <v>255</v>
      </c>
      <c r="C5" s="247" t="s">
        <v>256</v>
      </c>
      <c r="D5" s="247"/>
      <c r="E5" s="247"/>
      <c r="F5" s="247"/>
      <c r="G5" s="292" t="s">
        <v>6</v>
      </c>
      <c r="H5" s="293"/>
      <c r="I5" s="293"/>
      <c r="J5" s="293"/>
      <c r="K5" s="293"/>
      <c r="L5" s="293"/>
      <c r="M5" s="293"/>
      <c r="N5" s="293"/>
      <c r="O5" s="293"/>
      <c r="P5" s="293"/>
      <c r="Q5" s="293"/>
      <c r="R5" s="294"/>
      <c r="S5" s="247" t="s">
        <v>62</v>
      </c>
      <c r="T5" s="247"/>
      <c r="U5" s="247"/>
    </row>
    <row r="6" spans="1:22" ht="21" customHeight="1" x14ac:dyDescent="0.35">
      <c r="A6" s="247"/>
      <c r="B6" s="247"/>
      <c r="C6" s="247" t="s">
        <v>145</v>
      </c>
      <c r="D6" s="247" t="s">
        <v>32</v>
      </c>
      <c r="E6" s="288" t="s">
        <v>33</v>
      </c>
      <c r="F6" s="247" t="s">
        <v>257</v>
      </c>
      <c r="G6" s="247" t="s">
        <v>145</v>
      </c>
      <c r="H6" s="247" t="s">
        <v>32</v>
      </c>
      <c r="I6" s="247"/>
      <c r="J6" s="247"/>
      <c r="K6" s="247" t="s">
        <v>33</v>
      </c>
      <c r="L6" s="247"/>
      <c r="M6" s="247"/>
      <c r="N6" s="247" t="s">
        <v>257</v>
      </c>
      <c r="O6" s="247"/>
      <c r="P6" s="247"/>
      <c r="Q6" s="247" t="s">
        <v>43</v>
      </c>
      <c r="R6" s="288" t="s">
        <v>154</v>
      </c>
      <c r="S6" s="247" t="s">
        <v>145</v>
      </c>
      <c r="T6" s="247" t="s">
        <v>32</v>
      </c>
      <c r="U6" s="247" t="s">
        <v>257</v>
      </c>
    </row>
    <row r="7" spans="1:22" ht="21" customHeight="1" x14ac:dyDescent="0.35">
      <c r="A7" s="247"/>
      <c r="B7" s="247"/>
      <c r="C7" s="247"/>
      <c r="D7" s="247"/>
      <c r="E7" s="289"/>
      <c r="F7" s="247"/>
      <c r="G7" s="247"/>
      <c r="H7" s="247" t="s">
        <v>145</v>
      </c>
      <c r="I7" s="247" t="s">
        <v>245</v>
      </c>
      <c r="J7" s="247"/>
      <c r="K7" s="247" t="s">
        <v>145</v>
      </c>
      <c r="L7" s="247" t="s">
        <v>245</v>
      </c>
      <c r="M7" s="247"/>
      <c r="N7" s="247" t="s">
        <v>145</v>
      </c>
      <c r="O7" s="247" t="s">
        <v>245</v>
      </c>
      <c r="P7" s="247"/>
      <c r="Q7" s="247"/>
      <c r="R7" s="289"/>
      <c r="S7" s="247"/>
      <c r="T7" s="247"/>
      <c r="U7" s="247"/>
    </row>
    <row r="8" spans="1:22" ht="39.6" x14ac:dyDescent="0.35">
      <c r="A8" s="247"/>
      <c r="B8" s="247"/>
      <c r="C8" s="247"/>
      <c r="D8" s="247"/>
      <c r="E8" s="290"/>
      <c r="F8" s="247"/>
      <c r="G8" s="247"/>
      <c r="H8" s="247"/>
      <c r="I8" s="4" t="s">
        <v>258</v>
      </c>
      <c r="J8" s="4" t="s">
        <v>128</v>
      </c>
      <c r="K8" s="247"/>
      <c r="L8" s="4" t="s">
        <v>258</v>
      </c>
      <c r="M8" s="4" t="s">
        <v>259</v>
      </c>
      <c r="N8" s="247"/>
      <c r="O8" s="4" t="s">
        <v>32</v>
      </c>
      <c r="P8" s="4" t="s">
        <v>33</v>
      </c>
      <c r="Q8" s="247"/>
      <c r="R8" s="290"/>
      <c r="S8" s="247"/>
      <c r="T8" s="247"/>
      <c r="U8" s="247"/>
    </row>
    <row r="9" spans="1:22" ht="17.399999999999999" customHeight="1" x14ac:dyDescent="0.35">
      <c r="A9" s="4" t="s">
        <v>10</v>
      </c>
      <c r="B9" s="4" t="s">
        <v>11</v>
      </c>
      <c r="C9" s="4">
        <v>1</v>
      </c>
      <c r="D9" s="4">
        <v>2</v>
      </c>
      <c r="E9" s="4"/>
      <c r="F9" s="4">
        <v>3</v>
      </c>
      <c r="G9" s="4">
        <v>4</v>
      </c>
      <c r="H9" s="4">
        <v>5</v>
      </c>
      <c r="I9" s="4">
        <v>6</v>
      </c>
      <c r="J9" s="4">
        <v>7</v>
      </c>
      <c r="K9" s="4">
        <v>8</v>
      </c>
      <c r="L9" s="4">
        <v>9</v>
      </c>
      <c r="M9" s="4">
        <v>10</v>
      </c>
      <c r="N9" s="4">
        <v>11</v>
      </c>
      <c r="O9" s="4">
        <v>12</v>
      </c>
      <c r="P9" s="4">
        <v>13</v>
      </c>
      <c r="Q9" s="4">
        <v>14</v>
      </c>
      <c r="R9" s="4"/>
      <c r="S9" s="4" t="s">
        <v>260</v>
      </c>
      <c r="T9" s="4" t="s">
        <v>261</v>
      </c>
      <c r="U9" s="4">
        <v>17</v>
      </c>
    </row>
    <row r="10" spans="1:22" ht="21" hidden="1" customHeight="1" x14ac:dyDescent="0.35">
      <c r="A10" s="4"/>
      <c r="B10" s="4"/>
      <c r="C10" s="4"/>
      <c r="D10" s="107">
        <f>D12-D11</f>
        <v>2850840.0000000037</v>
      </c>
      <c r="E10" s="107">
        <f>'[1]MS 05'!$K$14</f>
        <v>505535.50400000002</v>
      </c>
      <c r="F10" s="107">
        <f>E11+E10</f>
        <v>-159.99999999831198</v>
      </c>
      <c r="G10" s="107">
        <f>G12-G11</f>
        <v>0</v>
      </c>
      <c r="H10" s="4"/>
      <c r="I10" s="4"/>
      <c r="J10" s="4"/>
      <c r="K10" s="4"/>
      <c r="L10" s="4"/>
      <c r="M10" s="4"/>
      <c r="N10" s="4"/>
      <c r="O10" s="4"/>
      <c r="P10" s="4"/>
      <c r="Q10" s="4"/>
      <c r="R10" s="4"/>
      <c r="S10" s="4"/>
      <c r="T10" s="4"/>
      <c r="U10" s="4"/>
    </row>
    <row r="11" spans="1:22" ht="21" hidden="1" customHeight="1" x14ac:dyDescent="0.35">
      <c r="A11" s="4"/>
      <c r="B11" s="4"/>
      <c r="C11" s="4"/>
      <c r="D11" s="107">
        <f>'[2]55- Thoa'!C9</f>
        <v>21648288.666999999</v>
      </c>
      <c r="E11" s="107">
        <f>F11-E12</f>
        <v>-505695.50399999833</v>
      </c>
      <c r="F11" s="107">
        <f>F13-F12</f>
        <v>2850840.0000000019</v>
      </c>
      <c r="G11" s="107">
        <f>'[2]55- Thoa'!D9</f>
        <v>18364016.785</v>
      </c>
      <c r="H11" s="4"/>
      <c r="I11" s="4"/>
      <c r="J11" s="4"/>
      <c r="K11" s="4"/>
      <c r="L11" s="4"/>
      <c r="M11" s="4"/>
      <c r="N11" s="4"/>
      <c r="O11" s="107">
        <f>O13-O12</f>
        <v>0</v>
      </c>
      <c r="P11" s="9">
        <f>P13-P12</f>
        <v>0</v>
      </c>
      <c r="Q11" s="4"/>
      <c r="R11" s="4"/>
      <c r="S11" s="4"/>
      <c r="T11" s="4"/>
      <c r="U11" s="4"/>
    </row>
    <row r="12" spans="1:22" ht="24" hidden="1" customHeight="1" x14ac:dyDescent="0.35">
      <c r="A12" s="4"/>
      <c r="B12" s="107">
        <f>SUM(C14:C25)</f>
        <v>97616528.750000015</v>
      </c>
      <c r="C12" s="4"/>
      <c r="D12" s="107">
        <f>D13+F13</f>
        <v>24499128.667000003</v>
      </c>
      <c r="E12" s="107">
        <f>'[1]MS 05'!$K$13</f>
        <v>3356535.5040000002</v>
      </c>
      <c r="F12" s="107">
        <f>'[1]62'!$K$22</f>
        <v>12197066.219999999</v>
      </c>
      <c r="G12" s="107">
        <f>H13+O13</f>
        <v>18364016.785</v>
      </c>
      <c r="H12" s="107">
        <f>J13+L13+M13</f>
        <v>48346072.765000008</v>
      </c>
      <c r="I12" s="9">
        <f>D13-H13</f>
        <v>941322.86800000072</v>
      </c>
      <c r="J12" s="4"/>
      <c r="K12" s="4"/>
      <c r="L12" s="4"/>
      <c r="M12" s="4"/>
      <c r="N12" s="4"/>
      <c r="O12" s="9">
        <f>'[1]MS 05'!$AB$13</f>
        <v>9854117.2060000002</v>
      </c>
      <c r="P12" s="9">
        <f>'[1]MS 05'!$AC$14</f>
        <v>2434767.0240000002</v>
      </c>
      <c r="Q12" s="4"/>
      <c r="R12" s="4"/>
      <c r="S12" s="4"/>
      <c r="T12" s="4"/>
      <c r="U12" s="4"/>
    </row>
    <row r="13" spans="1:22" s="112" customFormat="1" ht="28.2" customHeight="1" x14ac:dyDescent="0.35">
      <c r="A13" s="286" t="s">
        <v>156</v>
      </c>
      <c r="B13" s="287"/>
      <c r="C13" s="108">
        <f>SUM(C14:C86)</f>
        <v>173124657.41700003</v>
      </c>
      <c r="D13" s="109">
        <f t="shared" ref="D13:R13" si="0">SUM(D14:D86)</f>
        <v>9451222.4470000006</v>
      </c>
      <c r="E13" s="108">
        <f>SUM(E14:E86)</f>
        <v>148625528.75</v>
      </c>
      <c r="F13" s="108">
        <f t="shared" si="0"/>
        <v>15047906.220000001</v>
      </c>
      <c r="G13" s="64">
        <f>SUM(G14:G86)</f>
        <v>124396922.08300002</v>
      </c>
      <c r="H13" s="109">
        <f t="shared" si="0"/>
        <v>8509899.5789999999</v>
      </c>
      <c r="I13" s="108">
        <f t="shared" si="0"/>
        <v>890000</v>
      </c>
      <c r="J13" s="108">
        <f t="shared" si="0"/>
        <v>0</v>
      </c>
      <c r="K13" s="108">
        <f t="shared" si="0"/>
        <v>93052104.984999999</v>
      </c>
      <c r="L13" s="108">
        <f t="shared" si="0"/>
        <v>48346072.765000008</v>
      </c>
      <c r="M13" s="108">
        <f t="shared" si="0"/>
        <v>0</v>
      </c>
      <c r="N13" s="64">
        <f t="shared" si="0"/>
        <v>12288884.229999999</v>
      </c>
      <c r="O13" s="109">
        <f t="shared" si="0"/>
        <v>9854117.2060000002</v>
      </c>
      <c r="P13" s="64">
        <f t="shared" si="0"/>
        <v>2434767.0240000002</v>
      </c>
      <c r="Q13" s="108">
        <f t="shared" si="0"/>
        <v>9850802.2719999999</v>
      </c>
      <c r="R13" s="108">
        <f t="shared" si="0"/>
        <v>695231.01699999999</v>
      </c>
      <c r="S13" s="110"/>
      <c r="T13" s="111"/>
      <c r="U13" s="111"/>
    </row>
    <row r="14" spans="1:22" s="115" customFormat="1" ht="28.2" customHeight="1" x14ac:dyDescent="0.35">
      <c r="A14" s="79">
        <v>1</v>
      </c>
      <c r="B14" s="80" t="s">
        <v>157</v>
      </c>
      <c r="C14" s="71">
        <f>SUM(D14:F14)</f>
        <v>6846995.0999999996</v>
      </c>
      <c r="D14" s="78"/>
      <c r="E14" s="71">
        <v>6846995.0999999996</v>
      </c>
      <c r="F14" s="71">
        <v>0</v>
      </c>
      <c r="G14" s="71">
        <f>H14+K14+N14</f>
        <v>6843555.0999999996</v>
      </c>
      <c r="H14" s="71"/>
      <c r="I14" s="71"/>
      <c r="J14" s="71"/>
      <c r="K14" s="71">
        <f>SUM(L14:M14)</f>
        <v>6843555.0999999996</v>
      </c>
      <c r="L14" s="72">
        <v>6843555.0999999996</v>
      </c>
      <c r="M14" s="71"/>
      <c r="N14" s="71"/>
      <c r="O14" s="71"/>
      <c r="P14" s="72"/>
      <c r="Q14" s="71"/>
      <c r="R14" s="71"/>
      <c r="S14" s="71"/>
      <c r="T14" s="113"/>
      <c r="U14" s="113"/>
      <c r="V14" s="114"/>
    </row>
    <row r="15" spans="1:22" s="115" customFormat="1" ht="40.200000000000003" customHeight="1" x14ac:dyDescent="0.35">
      <c r="A15" s="79">
        <v>2</v>
      </c>
      <c r="B15" s="80" t="s">
        <v>158</v>
      </c>
      <c r="C15" s="71">
        <f t="shared" ref="C15:C78" si="1">SUM(D15:F15)</f>
        <v>10845215.206</v>
      </c>
      <c r="D15" s="78"/>
      <c r="E15" s="71">
        <v>10845215.206</v>
      </c>
      <c r="F15" s="71">
        <v>0</v>
      </c>
      <c r="G15" s="71">
        <f>H15+K15+N15</f>
        <v>10842703.706</v>
      </c>
      <c r="H15" s="71"/>
      <c r="I15" s="71"/>
      <c r="J15" s="71"/>
      <c r="K15" s="71">
        <f t="shared" ref="K15:K19" si="2">SUM(L15:M15)</f>
        <v>10842703.706</v>
      </c>
      <c r="L15" s="72">
        <v>10842703.706</v>
      </c>
      <c r="M15" s="71"/>
      <c r="N15" s="71"/>
      <c r="O15" s="71"/>
      <c r="P15" s="72"/>
      <c r="Q15" s="71"/>
      <c r="R15" s="71"/>
      <c r="S15" s="71"/>
      <c r="T15" s="113"/>
      <c r="U15" s="113"/>
      <c r="V15" s="114"/>
    </row>
    <row r="16" spans="1:22" s="115" customFormat="1" ht="28.2" customHeight="1" x14ac:dyDescent="0.35">
      <c r="A16" s="79">
        <v>3</v>
      </c>
      <c r="B16" s="80" t="s">
        <v>159</v>
      </c>
      <c r="C16" s="71">
        <f>SUM(D16:F16)</f>
        <v>4399713</v>
      </c>
      <c r="D16" s="78"/>
      <c r="E16" s="71">
        <f>4399713</f>
        <v>4399713</v>
      </c>
      <c r="F16" s="71">
        <v>0</v>
      </c>
      <c r="G16" s="71">
        <f>H16+K16+N16</f>
        <v>4370388.4400000004</v>
      </c>
      <c r="H16" s="71"/>
      <c r="I16" s="71"/>
      <c r="J16" s="71"/>
      <c r="K16" s="71">
        <f t="shared" si="2"/>
        <v>4370388.4400000004</v>
      </c>
      <c r="L16" s="72">
        <v>4370388.4400000004</v>
      </c>
      <c r="M16" s="71"/>
      <c r="N16" s="71"/>
      <c r="O16" s="71"/>
      <c r="P16" s="72"/>
      <c r="Q16" s="71"/>
      <c r="R16" s="71"/>
      <c r="S16" s="71"/>
      <c r="T16" s="113"/>
      <c r="U16" s="113"/>
      <c r="V16" s="114"/>
    </row>
    <row r="17" spans="1:22" s="115" customFormat="1" ht="37.200000000000003" customHeight="1" x14ac:dyDescent="0.35">
      <c r="A17" s="79">
        <v>4</v>
      </c>
      <c r="B17" s="80" t="s">
        <v>160</v>
      </c>
      <c r="C17" s="71">
        <f t="shared" si="1"/>
        <v>5892898.8760000002</v>
      </c>
      <c r="D17" s="78"/>
      <c r="E17" s="71">
        <v>5892898.8760000002</v>
      </c>
      <c r="F17" s="71">
        <v>0</v>
      </c>
      <c r="G17" s="71">
        <f t="shared" ref="G17:G80" si="3">H17+K17+N17</f>
        <v>5886898.5880000005</v>
      </c>
      <c r="H17" s="71"/>
      <c r="I17" s="71"/>
      <c r="J17" s="71"/>
      <c r="K17" s="71">
        <f t="shared" si="2"/>
        <v>5886898.5880000005</v>
      </c>
      <c r="L17" s="71">
        <v>5886898.5880000005</v>
      </c>
      <c r="M17" s="71"/>
      <c r="N17" s="71"/>
      <c r="O17" s="71"/>
      <c r="P17" s="72"/>
      <c r="Q17" s="71"/>
      <c r="R17" s="71"/>
      <c r="S17" s="71"/>
      <c r="T17" s="113"/>
      <c r="U17" s="113"/>
      <c r="V17" s="114"/>
    </row>
    <row r="18" spans="1:22" s="115" customFormat="1" ht="42.6" customHeight="1" x14ac:dyDescent="0.35">
      <c r="A18" s="79">
        <v>5</v>
      </c>
      <c r="B18" s="80" t="s">
        <v>161</v>
      </c>
      <c r="C18" s="71">
        <f t="shared" si="1"/>
        <v>15136674.199999999</v>
      </c>
      <c r="D18" s="78"/>
      <c r="E18" s="71">
        <f>15136674.2</f>
        <v>15136674.199999999</v>
      </c>
      <c r="F18" s="71">
        <v>0</v>
      </c>
      <c r="G18" s="71">
        <f t="shared" si="3"/>
        <v>14939324.139</v>
      </c>
      <c r="H18" s="71"/>
      <c r="I18" s="71"/>
      <c r="J18" s="71"/>
      <c r="K18" s="71">
        <f t="shared" si="2"/>
        <v>14939324.139</v>
      </c>
      <c r="L18" s="72">
        <v>14939324.139</v>
      </c>
      <c r="M18" s="71"/>
      <c r="N18" s="71"/>
      <c r="O18" s="71"/>
      <c r="P18" s="72"/>
      <c r="Q18" s="71"/>
      <c r="R18" s="71"/>
      <c r="S18" s="71"/>
      <c r="T18" s="113"/>
      <c r="U18" s="113"/>
      <c r="V18" s="114"/>
    </row>
    <row r="19" spans="1:22" s="115" customFormat="1" ht="34.799999999999997" customHeight="1" x14ac:dyDescent="0.35">
      <c r="A19" s="79">
        <v>6</v>
      </c>
      <c r="B19" s="80" t="s">
        <v>162</v>
      </c>
      <c r="C19" s="71">
        <f t="shared" si="1"/>
        <v>4815852.5999999996</v>
      </c>
      <c r="D19" s="78"/>
      <c r="E19" s="71">
        <v>4815852.5999999996</v>
      </c>
      <c r="F19" s="71">
        <v>0</v>
      </c>
      <c r="G19" s="71">
        <f t="shared" si="3"/>
        <v>4808209.2</v>
      </c>
      <c r="H19" s="71"/>
      <c r="I19" s="71"/>
      <c r="J19" s="71"/>
      <c r="K19" s="71">
        <f t="shared" si="2"/>
        <v>4808209.2</v>
      </c>
      <c r="L19" s="72">
        <v>4808209.2</v>
      </c>
      <c r="M19" s="71"/>
      <c r="N19" s="71"/>
      <c r="O19" s="71"/>
      <c r="P19" s="72"/>
      <c r="Q19" s="71"/>
      <c r="R19" s="71"/>
      <c r="S19" s="71"/>
      <c r="T19" s="113"/>
      <c r="U19" s="113"/>
      <c r="V19" s="114"/>
    </row>
    <row r="20" spans="1:22" s="115" customFormat="1" ht="46.8" customHeight="1" x14ac:dyDescent="0.35">
      <c r="A20" s="79">
        <v>7</v>
      </c>
      <c r="B20" s="80" t="s">
        <v>163</v>
      </c>
      <c r="C20" s="71">
        <f t="shared" si="1"/>
        <v>3317685.43</v>
      </c>
      <c r="D20" s="78"/>
      <c r="E20" s="71">
        <f>463460+2600616.39+17600+86009.04</f>
        <v>3167685.43</v>
      </c>
      <c r="F20" s="71">
        <f>143088+6912</f>
        <v>150000</v>
      </c>
      <c r="G20" s="71">
        <f>H20+K20+N20</f>
        <v>3317129.33</v>
      </c>
      <c r="H20" s="71"/>
      <c r="I20" s="71"/>
      <c r="J20" s="71"/>
      <c r="K20" s="116">
        <f>462947.4+2600616.39+17600+86009.04</f>
        <v>3167172.83</v>
      </c>
      <c r="L20" s="72"/>
      <c r="M20" s="71"/>
      <c r="N20" s="71">
        <f t="shared" ref="N20:N76" si="4">SUM(O20:P20)</f>
        <v>149956.5</v>
      </c>
      <c r="O20" s="71"/>
      <c r="P20" s="72">
        <f>143088+6868.5</f>
        <v>149956.5</v>
      </c>
      <c r="Q20" s="71"/>
      <c r="R20" s="71"/>
      <c r="S20" s="71"/>
      <c r="T20" s="113"/>
      <c r="U20" s="113"/>
      <c r="V20" s="114"/>
    </row>
    <row r="21" spans="1:22" s="115" customFormat="1" ht="36" customHeight="1" x14ac:dyDescent="0.35">
      <c r="A21" s="79">
        <v>8</v>
      </c>
      <c r="B21" s="80" t="s">
        <v>164</v>
      </c>
      <c r="C21" s="116">
        <f t="shared" si="1"/>
        <v>12204957.865</v>
      </c>
      <c r="D21" s="78"/>
      <c r="E21" s="71">
        <f>10471157.865</f>
        <v>10471157.865</v>
      </c>
      <c r="F21" s="71">
        <v>1733800</v>
      </c>
      <c r="G21" s="71">
        <f t="shared" si="3"/>
        <v>11049010.359999999</v>
      </c>
      <c r="H21" s="71"/>
      <c r="I21" s="71"/>
      <c r="J21" s="71"/>
      <c r="K21" s="71">
        <v>9477337.9879999999</v>
      </c>
      <c r="L21" s="72">
        <v>200000</v>
      </c>
      <c r="M21" s="71"/>
      <c r="N21" s="71">
        <f t="shared" si="4"/>
        <v>1571672.372</v>
      </c>
      <c r="O21" s="71"/>
      <c r="P21" s="72">
        <v>1571672.372</v>
      </c>
      <c r="Q21" s="71"/>
      <c r="R21" s="71"/>
      <c r="S21" s="71"/>
      <c r="T21" s="113"/>
      <c r="U21" s="113"/>
      <c r="V21" s="114"/>
    </row>
    <row r="22" spans="1:22" s="115" customFormat="1" ht="37.799999999999997" customHeight="1" x14ac:dyDescent="0.35">
      <c r="A22" s="79">
        <v>9</v>
      </c>
      <c r="B22" s="80" t="s">
        <v>165</v>
      </c>
      <c r="C22" s="71">
        <f t="shared" si="1"/>
        <v>7645968.682</v>
      </c>
      <c r="D22" s="78"/>
      <c r="E22" s="71">
        <v>7645968.682</v>
      </c>
      <c r="F22" s="71">
        <v>0</v>
      </c>
      <c r="G22" s="71">
        <f t="shared" si="3"/>
        <v>7623824.1279999996</v>
      </c>
      <c r="H22" s="71"/>
      <c r="I22" s="71"/>
      <c r="J22" s="71"/>
      <c r="K22" s="71">
        <f>7623824.128</f>
        <v>7623824.1279999996</v>
      </c>
      <c r="L22" s="72"/>
      <c r="M22" s="71"/>
      <c r="N22" s="71"/>
      <c r="O22" s="71"/>
      <c r="P22" s="72"/>
      <c r="Q22" s="71"/>
      <c r="R22" s="71"/>
      <c r="S22" s="71"/>
      <c r="T22" s="113"/>
      <c r="U22" s="113"/>
      <c r="V22" s="114"/>
    </row>
    <row r="23" spans="1:22" s="115" customFormat="1" ht="40.200000000000003" customHeight="1" x14ac:dyDescent="0.35">
      <c r="A23" s="79">
        <v>10</v>
      </c>
      <c r="B23" s="80" t="s">
        <v>166</v>
      </c>
      <c r="C23" s="71">
        <f t="shared" si="1"/>
        <v>6435927.29</v>
      </c>
      <c r="D23" s="78"/>
      <c r="E23" s="71">
        <v>5525727.29</v>
      </c>
      <c r="F23" s="71">
        <v>910200</v>
      </c>
      <c r="G23" s="71">
        <f>H23+K23+N23</f>
        <v>5695018.517</v>
      </c>
      <c r="H23" s="71"/>
      <c r="I23" s="71"/>
      <c r="J23" s="71"/>
      <c r="K23" s="117">
        <f>4629886.773+408993.592</f>
        <v>5038880.3650000002</v>
      </c>
      <c r="L23" s="72">
        <f>408993.592</f>
        <v>408993.592</v>
      </c>
      <c r="M23" s="71"/>
      <c r="N23" s="71">
        <f t="shared" si="4"/>
        <v>656138.152</v>
      </c>
      <c r="O23" s="71"/>
      <c r="P23" s="75">
        <v>656138.152</v>
      </c>
      <c r="Q23" s="71"/>
      <c r="R23" s="71"/>
      <c r="S23" s="71"/>
      <c r="T23" s="113"/>
      <c r="U23" s="113"/>
      <c r="V23" s="114"/>
    </row>
    <row r="24" spans="1:22" s="115" customFormat="1" ht="34.799999999999997" customHeight="1" x14ac:dyDescent="0.35">
      <c r="A24" s="79">
        <v>11</v>
      </c>
      <c r="B24" s="80" t="s">
        <v>167</v>
      </c>
      <c r="C24" s="71">
        <f t="shared" si="1"/>
        <v>777276.84499999997</v>
      </c>
      <c r="D24" s="78"/>
      <c r="E24" s="71">
        <v>777276.84499999997</v>
      </c>
      <c r="F24" s="71">
        <v>0</v>
      </c>
      <c r="G24" s="71">
        <f>H24+K24+N24</f>
        <v>777276.84499999997</v>
      </c>
      <c r="H24" s="71"/>
      <c r="I24" s="71"/>
      <c r="J24" s="71"/>
      <c r="K24" s="117">
        <v>777276.84499999997</v>
      </c>
      <c r="L24" s="72"/>
      <c r="M24" s="71"/>
      <c r="N24" s="71"/>
      <c r="O24" s="71"/>
      <c r="P24" s="72"/>
      <c r="Q24" s="71"/>
      <c r="R24" s="71"/>
      <c r="S24" s="71"/>
      <c r="T24" s="113"/>
      <c r="U24" s="113"/>
      <c r="V24" s="114"/>
    </row>
    <row r="25" spans="1:22" s="115" customFormat="1" ht="34.799999999999997" customHeight="1" x14ac:dyDescent="0.35">
      <c r="A25" s="79">
        <v>12</v>
      </c>
      <c r="B25" s="80" t="s">
        <v>168</v>
      </c>
      <c r="C25" s="71">
        <f t="shared" si="1"/>
        <v>19297363.655999999</v>
      </c>
      <c r="D25" s="78"/>
      <c r="E25" s="71">
        <f>19297363.656-57000</f>
        <v>19240363.655999999</v>
      </c>
      <c r="F25" s="71">
        <v>57000</v>
      </c>
      <c r="G25" s="71">
        <f t="shared" si="3"/>
        <v>19279673.655999999</v>
      </c>
      <c r="H25" s="71"/>
      <c r="I25" s="71"/>
      <c r="J25" s="71"/>
      <c r="K25" s="71">
        <f>19222673.656</f>
        <v>19222673.655999999</v>
      </c>
      <c r="L25" s="72">
        <v>46000</v>
      </c>
      <c r="M25" s="71"/>
      <c r="N25" s="71">
        <f t="shared" si="4"/>
        <v>57000</v>
      </c>
      <c r="O25" s="71"/>
      <c r="P25" s="72">
        <v>57000</v>
      </c>
      <c r="Q25" s="71"/>
      <c r="R25" s="71"/>
      <c r="S25" s="71"/>
      <c r="T25" s="113"/>
      <c r="U25" s="113"/>
      <c r="V25" s="114"/>
    </row>
    <row r="26" spans="1:22" s="115" customFormat="1" ht="45" customHeight="1" x14ac:dyDescent="0.35">
      <c r="A26" s="79">
        <v>13</v>
      </c>
      <c r="B26" s="80" t="s">
        <v>169</v>
      </c>
      <c r="C26" s="71">
        <f t="shared" si="1"/>
        <v>1607215.068</v>
      </c>
      <c r="D26" s="78">
        <v>1607215.068</v>
      </c>
      <c r="E26" s="71"/>
      <c r="F26" s="71">
        <v>0</v>
      </c>
      <c r="G26" s="71">
        <f t="shared" si="3"/>
        <v>1607215.068</v>
      </c>
      <c r="H26" s="71">
        <v>1607215.068</v>
      </c>
      <c r="I26" s="71"/>
      <c r="J26" s="71"/>
      <c r="K26" s="71"/>
      <c r="L26" s="72"/>
      <c r="M26" s="71"/>
      <c r="N26" s="71"/>
      <c r="O26" s="71"/>
      <c r="P26" s="72"/>
      <c r="Q26" s="71"/>
      <c r="R26" s="71"/>
      <c r="S26" s="71"/>
      <c r="T26" s="113"/>
      <c r="U26" s="113"/>
      <c r="V26" s="114"/>
    </row>
    <row r="27" spans="1:22" s="115" customFormat="1" ht="40.200000000000003" customHeight="1" x14ac:dyDescent="0.35">
      <c r="A27" s="79">
        <v>14</v>
      </c>
      <c r="B27" s="80" t="s">
        <v>170</v>
      </c>
      <c r="C27" s="71">
        <f t="shared" si="1"/>
        <v>890000</v>
      </c>
      <c r="D27" s="78">
        <v>890000</v>
      </c>
      <c r="E27" s="71"/>
      <c r="F27" s="71">
        <v>0</v>
      </c>
      <c r="G27" s="71">
        <f t="shared" si="3"/>
        <v>890000</v>
      </c>
      <c r="H27" s="71">
        <f t="shared" ref="H27" si="5">SUM(I27:J27)</f>
        <v>890000</v>
      </c>
      <c r="I27" s="71">
        <v>890000</v>
      </c>
      <c r="J27" s="71"/>
      <c r="K27" s="71"/>
      <c r="L27" s="72"/>
      <c r="M27" s="71"/>
      <c r="N27" s="71"/>
      <c r="O27" s="71"/>
      <c r="P27" s="72"/>
      <c r="Q27" s="71"/>
      <c r="R27" s="71"/>
      <c r="S27" s="71"/>
      <c r="T27" s="113"/>
      <c r="U27" s="113"/>
      <c r="V27" s="114"/>
    </row>
    <row r="28" spans="1:22" s="115" customFormat="1" ht="40.200000000000003" customHeight="1" x14ac:dyDescent="0.35">
      <c r="A28" s="79">
        <v>15</v>
      </c>
      <c r="B28" s="80" t="s">
        <v>171</v>
      </c>
      <c r="C28" s="71">
        <f t="shared" si="1"/>
        <v>22800</v>
      </c>
      <c r="D28" s="78"/>
      <c r="E28" s="71"/>
      <c r="F28" s="71">
        <v>22800</v>
      </c>
      <c r="G28" s="71">
        <f t="shared" si="3"/>
        <v>19683.485000000001</v>
      </c>
      <c r="H28" s="71"/>
      <c r="I28" s="71"/>
      <c r="J28" s="71"/>
      <c r="K28" s="71"/>
      <c r="L28" s="72"/>
      <c r="M28" s="71"/>
      <c r="N28" s="71">
        <f t="shared" si="4"/>
        <v>19683.485000000001</v>
      </c>
      <c r="O28" s="71">
        <v>19683.485000000001</v>
      </c>
      <c r="P28" s="72"/>
      <c r="Q28" s="71"/>
      <c r="R28" s="71"/>
      <c r="S28" s="71"/>
      <c r="T28" s="113"/>
      <c r="U28" s="113"/>
      <c r="V28" s="114"/>
    </row>
    <row r="29" spans="1:22" s="115" customFormat="1" ht="78" customHeight="1" x14ac:dyDescent="0.35">
      <c r="A29" s="79">
        <v>16</v>
      </c>
      <c r="B29" s="80" t="s">
        <v>172</v>
      </c>
      <c r="C29" s="71">
        <f t="shared" si="1"/>
        <v>36885</v>
      </c>
      <c r="D29" s="78"/>
      <c r="E29" s="71"/>
      <c r="F29" s="71">
        <v>36885</v>
      </c>
      <c r="G29" s="71">
        <f t="shared" si="3"/>
        <v>33623.781999999999</v>
      </c>
      <c r="H29" s="71"/>
      <c r="I29" s="71"/>
      <c r="J29" s="71"/>
      <c r="K29" s="71"/>
      <c r="L29" s="72"/>
      <c r="M29" s="71"/>
      <c r="N29" s="71">
        <f t="shared" si="4"/>
        <v>33623.781999999999</v>
      </c>
      <c r="O29" s="71">
        <v>33623.781999999999</v>
      </c>
      <c r="P29" s="72"/>
      <c r="Q29" s="71"/>
      <c r="R29" s="71"/>
      <c r="S29" s="71"/>
      <c r="T29" s="113"/>
      <c r="U29" s="113"/>
      <c r="V29" s="114"/>
    </row>
    <row r="30" spans="1:22" s="115" customFormat="1" ht="42" customHeight="1" x14ac:dyDescent="0.35">
      <c r="A30" s="79">
        <v>17</v>
      </c>
      <c r="B30" s="80" t="s">
        <v>173</v>
      </c>
      <c r="C30" s="71">
        <f t="shared" si="1"/>
        <v>73617.929999999993</v>
      </c>
      <c r="D30" s="78"/>
      <c r="E30" s="71"/>
      <c r="F30" s="71">
        <v>73617.929999999993</v>
      </c>
      <c r="G30" s="71">
        <f t="shared" si="3"/>
        <v>46042.218999999997</v>
      </c>
      <c r="H30" s="71"/>
      <c r="I30" s="71"/>
      <c r="J30" s="71"/>
      <c r="K30" s="71"/>
      <c r="L30" s="72"/>
      <c r="M30" s="71"/>
      <c r="N30" s="71">
        <f t="shared" si="4"/>
        <v>46042.218999999997</v>
      </c>
      <c r="O30" s="71">
        <v>46042.218999999997</v>
      </c>
      <c r="P30" s="72"/>
      <c r="Q30" s="71"/>
      <c r="R30" s="71"/>
      <c r="S30" s="71"/>
      <c r="T30" s="113"/>
      <c r="U30" s="113"/>
      <c r="V30" s="114"/>
    </row>
    <row r="31" spans="1:22" s="115" customFormat="1" ht="46.8" customHeight="1" x14ac:dyDescent="0.35">
      <c r="A31" s="79">
        <v>18</v>
      </c>
      <c r="B31" s="80" t="s">
        <v>174</v>
      </c>
      <c r="C31" s="71">
        <v>150000</v>
      </c>
      <c r="D31" s="78">
        <v>150000</v>
      </c>
      <c r="E31" s="71"/>
      <c r="F31" s="71">
        <v>0</v>
      </c>
      <c r="G31" s="71">
        <f t="shared" si="3"/>
        <v>150000</v>
      </c>
      <c r="H31" s="71">
        <v>150000</v>
      </c>
      <c r="I31" s="71"/>
      <c r="J31" s="71"/>
      <c r="K31" s="71"/>
      <c r="L31" s="72"/>
      <c r="M31" s="71"/>
      <c r="N31" s="71"/>
      <c r="O31" s="71"/>
      <c r="P31" s="72"/>
      <c r="Q31" s="71"/>
      <c r="R31" s="71"/>
      <c r="S31" s="71"/>
      <c r="T31" s="113"/>
      <c r="U31" s="113"/>
      <c r="V31" s="114"/>
    </row>
    <row r="32" spans="1:22" s="115" customFormat="1" ht="46.8" customHeight="1" x14ac:dyDescent="0.35">
      <c r="A32" s="79">
        <v>19</v>
      </c>
      <c r="B32" s="80" t="s">
        <v>175</v>
      </c>
      <c r="C32" s="71">
        <f t="shared" si="1"/>
        <v>26700</v>
      </c>
      <c r="D32" s="78"/>
      <c r="E32" s="71"/>
      <c r="F32" s="71">
        <v>26700</v>
      </c>
      <c r="G32" s="71">
        <f t="shared" si="3"/>
        <v>15941.031999999999</v>
      </c>
      <c r="H32" s="71"/>
      <c r="I32" s="71"/>
      <c r="J32" s="71"/>
      <c r="K32" s="71"/>
      <c r="L32" s="72"/>
      <c r="M32" s="71"/>
      <c r="N32" s="71">
        <f t="shared" si="4"/>
        <v>15941.031999999999</v>
      </c>
      <c r="O32" s="71">
        <v>15941.031999999999</v>
      </c>
      <c r="P32" s="72"/>
      <c r="Q32" s="71"/>
      <c r="R32" s="71"/>
      <c r="S32" s="71"/>
      <c r="T32" s="113"/>
      <c r="U32" s="113"/>
      <c r="V32" s="114"/>
    </row>
    <row r="33" spans="1:22" s="115" customFormat="1" ht="57" customHeight="1" x14ac:dyDescent="0.35">
      <c r="A33" s="79">
        <v>20</v>
      </c>
      <c r="B33" s="80" t="s">
        <v>176</v>
      </c>
      <c r="C33" s="71">
        <f t="shared" si="1"/>
        <v>616000</v>
      </c>
      <c r="D33" s="78"/>
      <c r="E33" s="71"/>
      <c r="F33" s="71">
        <v>616000</v>
      </c>
      <c r="G33" s="71">
        <f t="shared" si="3"/>
        <v>616000</v>
      </c>
      <c r="H33" s="71"/>
      <c r="I33" s="71"/>
      <c r="J33" s="71"/>
      <c r="K33" s="71"/>
      <c r="L33" s="72"/>
      <c r="M33" s="71"/>
      <c r="N33" s="71">
        <f t="shared" si="4"/>
        <v>616000</v>
      </c>
      <c r="O33" s="71">
        <v>616000</v>
      </c>
      <c r="P33" s="72"/>
      <c r="Q33" s="71"/>
      <c r="R33" s="71"/>
      <c r="S33" s="71"/>
      <c r="T33" s="113"/>
      <c r="U33" s="113"/>
      <c r="V33" s="114"/>
    </row>
    <row r="34" spans="1:22" s="115" customFormat="1" ht="57" customHeight="1" x14ac:dyDescent="0.35">
      <c r="A34" s="79">
        <v>21</v>
      </c>
      <c r="B34" s="80" t="s">
        <v>177</v>
      </c>
      <c r="C34" s="71">
        <f t="shared" si="1"/>
        <v>125100</v>
      </c>
      <c r="D34" s="78"/>
      <c r="E34" s="71"/>
      <c r="F34" s="71">
        <v>125100</v>
      </c>
      <c r="G34" s="71">
        <f t="shared" si="3"/>
        <v>115685.11599999999</v>
      </c>
      <c r="H34" s="71"/>
      <c r="I34" s="71"/>
      <c r="J34" s="71"/>
      <c r="K34" s="71"/>
      <c r="L34" s="72"/>
      <c r="M34" s="71"/>
      <c r="N34" s="71">
        <f t="shared" si="4"/>
        <v>115685.11599999999</v>
      </c>
      <c r="O34" s="71">
        <v>115685.11599999999</v>
      </c>
      <c r="P34" s="72"/>
      <c r="Q34" s="71"/>
      <c r="R34" s="71"/>
      <c r="S34" s="71"/>
      <c r="T34" s="113"/>
      <c r="U34" s="113"/>
      <c r="V34" s="114"/>
    </row>
    <row r="35" spans="1:22" s="115" customFormat="1" ht="57" customHeight="1" x14ac:dyDescent="0.35">
      <c r="A35" s="79">
        <v>22</v>
      </c>
      <c r="B35" s="80" t="s">
        <v>178</v>
      </c>
      <c r="C35" s="71">
        <f t="shared" si="1"/>
        <v>70700</v>
      </c>
      <c r="D35" s="78"/>
      <c r="E35" s="71"/>
      <c r="F35" s="71">
        <v>70700</v>
      </c>
      <c r="G35" s="71">
        <f t="shared" si="3"/>
        <v>61285.116000000002</v>
      </c>
      <c r="H35" s="71"/>
      <c r="I35" s="71"/>
      <c r="J35" s="71"/>
      <c r="K35" s="71"/>
      <c r="L35" s="72"/>
      <c r="M35" s="71"/>
      <c r="N35" s="71">
        <f t="shared" si="4"/>
        <v>61285.116000000002</v>
      </c>
      <c r="O35" s="71">
        <v>61285.116000000002</v>
      </c>
      <c r="P35" s="72"/>
      <c r="Q35" s="71"/>
      <c r="R35" s="71"/>
      <c r="S35" s="71"/>
      <c r="T35" s="113"/>
      <c r="U35" s="113"/>
      <c r="V35" s="114"/>
    </row>
    <row r="36" spans="1:22" s="115" customFormat="1" ht="57" customHeight="1" x14ac:dyDescent="0.35">
      <c r="A36" s="79">
        <v>23</v>
      </c>
      <c r="B36" s="80" t="s">
        <v>179</v>
      </c>
      <c r="C36" s="71">
        <f t="shared" si="1"/>
        <v>57614.163999999997</v>
      </c>
      <c r="D36" s="78"/>
      <c r="E36" s="71"/>
      <c r="F36" s="71">
        <v>57614.163999999997</v>
      </c>
      <c r="G36" s="71">
        <f t="shared" si="3"/>
        <v>48199.28</v>
      </c>
      <c r="H36" s="71"/>
      <c r="I36" s="71"/>
      <c r="J36" s="71"/>
      <c r="K36" s="71"/>
      <c r="L36" s="72"/>
      <c r="M36" s="71"/>
      <c r="N36" s="71">
        <f t="shared" si="4"/>
        <v>48199.28</v>
      </c>
      <c r="O36" s="71">
        <v>48199.28</v>
      </c>
      <c r="P36" s="72"/>
      <c r="Q36" s="71"/>
      <c r="R36" s="71"/>
      <c r="S36" s="71"/>
      <c r="T36" s="113"/>
      <c r="U36" s="113"/>
      <c r="V36" s="114"/>
    </row>
    <row r="37" spans="1:22" s="115" customFormat="1" ht="31.2" customHeight="1" x14ac:dyDescent="0.35">
      <c r="A37" s="79">
        <v>24</v>
      </c>
      <c r="B37" s="80" t="s">
        <v>180</v>
      </c>
      <c r="C37" s="71">
        <f t="shared" si="1"/>
        <v>61600</v>
      </c>
      <c r="D37" s="78"/>
      <c r="E37" s="71"/>
      <c r="F37" s="71">
        <v>61600</v>
      </c>
      <c r="G37" s="71">
        <f t="shared" si="3"/>
        <v>61578.336000000003</v>
      </c>
      <c r="H37" s="71"/>
      <c r="I37" s="71"/>
      <c r="J37" s="71"/>
      <c r="K37" s="71"/>
      <c r="L37" s="72"/>
      <c r="M37" s="71"/>
      <c r="N37" s="71">
        <f t="shared" si="4"/>
        <v>61578.336000000003</v>
      </c>
      <c r="O37" s="71">
        <v>61578.336000000003</v>
      </c>
      <c r="P37" s="72"/>
      <c r="Q37" s="71"/>
      <c r="R37" s="71"/>
      <c r="S37" s="71"/>
      <c r="T37" s="113"/>
      <c r="U37" s="113"/>
      <c r="V37" s="114"/>
    </row>
    <row r="38" spans="1:22" s="115" customFormat="1" ht="33.6" customHeight="1" x14ac:dyDescent="0.35">
      <c r="A38" s="79">
        <v>25</v>
      </c>
      <c r="B38" s="80" t="s">
        <v>181</v>
      </c>
      <c r="C38" s="71">
        <f t="shared" si="1"/>
        <v>41300</v>
      </c>
      <c r="D38" s="78"/>
      <c r="E38" s="71"/>
      <c r="F38" s="71">
        <v>41300</v>
      </c>
      <c r="G38" s="71">
        <f t="shared" si="3"/>
        <v>39363.226999999999</v>
      </c>
      <c r="H38" s="71"/>
      <c r="I38" s="71"/>
      <c r="J38" s="71"/>
      <c r="K38" s="71"/>
      <c r="L38" s="72"/>
      <c r="M38" s="71"/>
      <c r="N38" s="71">
        <f t="shared" si="4"/>
        <v>39363.226999999999</v>
      </c>
      <c r="O38" s="71">
        <v>39363.226999999999</v>
      </c>
      <c r="P38" s="72"/>
      <c r="Q38" s="71"/>
      <c r="R38" s="71"/>
      <c r="S38" s="71"/>
      <c r="T38" s="113"/>
      <c r="U38" s="113"/>
      <c r="V38" s="114"/>
    </row>
    <row r="39" spans="1:22" s="115" customFormat="1" ht="36.6" customHeight="1" x14ac:dyDescent="0.35">
      <c r="A39" s="79">
        <v>26</v>
      </c>
      <c r="B39" s="80" t="s">
        <v>182</v>
      </c>
      <c r="C39" s="71">
        <f t="shared" si="1"/>
        <v>36600</v>
      </c>
      <c r="D39" s="78"/>
      <c r="E39" s="71"/>
      <c r="F39" s="71">
        <v>36600</v>
      </c>
      <c r="G39" s="71">
        <f t="shared" si="3"/>
        <v>27895.572</v>
      </c>
      <c r="H39" s="71"/>
      <c r="I39" s="71"/>
      <c r="J39" s="71"/>
      <c r="K39" s="71"/>
      <c r="L39" s="72"/>
      <c r="M39" s="71"/>
      <c r="N39" s="71">
        <f t="shared" si="4"/>
        <v>27895.572</v>
      </c>
      <c r="O39" s="71">
        <v>27895.572</v>
      </c>
      <c r="P39" s="72"/>
      <c r="Q39" s="71"/>
      <c r="R39" s="71"/>
      <c r="S39" s="71"/>
      <c r="T39" s="113"/>
      <c r="U39" s="113"/>
      <c r="V39" s="114"/>
    </row>
    <row r="40" spans="1:22" s="115" customFormat="1" ht="48.6" customHeight="1" x14ac:dyDescent="0.35">
      <c r="A40" s="79">
        <v>27</v>
      </c>
      <c r="B40" s="80" t="s">
        <v>183</v>
      </c>
      <c r="C40" s="71">
        <f t="shared" si="1"/>
        <v>164500</v>
      </c>
      <c r="D40" s="78"/>
      <c r="E40" s="71"/>
      <c r="F40" s="71">
        <v>164500</v>
      </c>
      <c r="G40" s="71">
        <f t="shared" si="3"/>
        <v>146118.44</v>
      </c>
      <c r="H40" s="71"/>
      <c r="I40" s="71"/>
      <c r="J40" s="71"/>
      <c r="K40" s="71"/>
      <c r="L40" s="72"/>
      <c r="M40" s="71"/>
      <c r="N40" s="71">
        <f t="shared" si="4"/>
        <v>146118.44</v>
      </c>
      <c r="O40" s="71">
        <v>146118.44</v>
      </c>
      <c r="P40" s="72"/>
      <c r="Q40" s="71"/>
      <c r="R40" s="71"/>
      <c r="S40" s="71"/>
      <c r="T40" s="113"/>
      <c r="U40" s="113"/>
      <c r="V40" s="114"/>
    </row>
    <row r="41" spans="1:22" s="115" customFormat="1" ht="33" customHeight="1" x14ac:dyDescent="0.35">
      <c r="A41" s="79">
        <v>28</v>
      </c>
      <c r="B41" s="80" t="s">
        <v>184</v>
      </c>
      <c r="C41" s="71">
        <f t="shared" si="1"/>
        <v>216100</v>
      </c>
      <c r="D41" s="78"/>
      <c r="E41" s="71"/>
      <c r="F41" s="71">
        <v>216100</v>
      </c>
      <c r="G41" s="71">
        <f t="shared" si="3"/>
        <v>91124.122000000003</v>
      </c>
      <c r="H41" s="71"/>
      <c r="I41" s="71"/>
      <c r="J41" s="71"/>
      <c r="K41" s="71"/>
      <c r="L41" s="72"/>
      <c r="M41" s="71"/>
      <c r="N41" s="71">
        <f t="shared" si="4"/>
        <v>91124.122000000003</v>
      </c>
      <c r="O41" s="71">
        <v>91124.122000000003</v>
      </c>
      <c r="P41" s="72"/>
      <c r="Q41" s="71"/>
      <c r="R41" s="71"/>
      <c r="S41" s="71"/>
      <c r="T41" s="113"/>
      <c r="U41" s="113"/>
      <c r="V41" s="114"/>
    </row>
    <row r="42" spans="1:22" s="115" customFormat="1" ht="57" customHeight="1" x14ac:dyDescent="0.35">
      <c r="A42" s="79">
        <v>29</v>
      </c>
      <c r="B42" s="80" t="s">
        <v>185</v>
      </c>
      <c r="C42" s="71">
        <f t="shared" si="1"/>
        <v>9400</v>
      </c>
      <c r="D42" s="78"/>
      <c r="E42" s="71"/>
      <c r="F42" s="71">
        <v>9400</v>
      </c>
      <c r="G42" s="71">
        <f t="shared" si="3"/>
        <v>242.108</v>
      </c>
      <c r="H42" s="71"/>
      <c r="I42" s="71"/>
      <c r="J42" s="71"/>
      <c r="K42" s="71"/>
      <c r="L42" s="72"/>
      <c r="M42" s="71"/>
      <c r="N42" s="71">
        <f t="shared" si="4"/>
        <v>242.108</v>
      </c>
      <c r="O42" s="71">
        <v>242.108</v>
      </c>
      <c r="P42" s="72"/>
      <c r="Q42" s="71"/>
      <c r="R42" s="71"/>
      <c r="S42" s="71"/>
      <c r="T42" s="113"/>
      <c r="U42" s="113"/>
      <c r="V42" s="114"/>
    </row>
    <row r="43" spans="1:22" s="115" customFormat="1" ht="57" customHeight="1" x14ac:dyDescent="0.35">
      <c r="A43" s="79">
        <v>30</v>
      </c>
      <c r="B43" s="80" t="s">
        <v>186</v>
      </c>
      <c r="C43" s="71">
        <f t="shared" si="1"/>
        <v>34600</v>
      </c>
      <c r="D43" s="78"/>
      <c r="E43" s="71"/>
      <c r="F43" s="71">
        <v>34600</v>
      </c>
      <c r="G43" s="71">
        <f t="shared" si="3"/>
        <v>16087.029</v>
      </c>
      <c r="H43" s="71"/>
      <c r="I43" s="71"/>
      <c r="J43" s="71"/>
      <c r="K43" s="71"/>
      <c r="L43" s="72"/>
      <c r="M43" s="71"/>
      <c r="N43" s="71">
        <f t="shared" si="4"/>
        <v>16087.029</v>
      </c>
      <c r="O43" s="71">
        <v>16087.029</v>
      </c>
      <c r="P43" s="72"/>
      <c r="Q43" s="71"/>
      <c r="R43" s="71"/>
      <c r="S43" s="71"/>
      <c r="T43" s="113"/>
      <c r="U43" s="113"/>
      <c r="V43" s="114"/>
    </row>
    <row r="44" spans="1:22" s="115" customFormat="1" ht="57" customHeight="1" x14ac:dyDescent="0.35">
      <c r="A44" s="79">
        <v>31</v>
      </c>
      <c r="B44" s="80" t="s">
        <v>187</v>
      </c>
      <c r="C44" s="71">
        <f t="shared" si="1"/>
        <v>114600</v>
      </c>
      <c r="D44" s="78"/>
      <c r="E44" s="71"/>
      <c r="F44" s="71">
        <v>114600</v>
      </c>
      <c r="G44" s="71">
        <f t="shared" si="3"/>
        <v>108965.52499999999</v>
      </c>
      <c r="H44" s="71"/>
      <c r="I44" s="71"/>
      <c r="J44" s="71"/>
      <c r="K44" s="71"/>
      <c r="L44" s="72"/>
      <c r="M44" s="71"/>
      <c r="N44" s="71">
        <f t="shared" si="4"/>
        <v>108965.52499999999</v>
      </c>
      <c r="O44" s="71">
        <v>108965.52499999999</v>
      </c>
      <c r="P44" s="72"/>
      <c r="Q44" s="71"/>
      <c r="R44" s="71"/>
      <c r="S44" s="71"/>
      <c r="T44" s="113"/>
      <c r="U44" s="113"/>
      <c r="V44" s="114"/>
    </row>
    <row r="45" spans="1:22" s="115" customFormat="1" ht="47.4" customHeight="1" x14ac:dyDescent="0.35">
      <c r="A45" s="79">
        <v>32</v>
      </c>
      <c r="B45" s="80" t="s">
        <v>188</v>
      </c>
      <c r="C45" s="71">
        <f t="shared" si="1"/>
        <v>44061</v>
      </c>
      <c r="D45" s="78"/>
      <c r="E45" s="71"/>
      <c r="F45" s="71">
        <v>44061</v>
      </c>
      <c r="G45" s="71">
        <f t="shared" si="3"/>
        <v>27426.434000000001</v>
      </c>
      <c r="H45" s="71"/>
      <c r="I45" s="71"/>
      <c r="J45" s="71"/>
      <c r="K45" s="71"/>
      <c r="L45" s="72"/>
      <c r="M45" s="71"/>
      <c r="N45" s="71">
        <f t="shared" si="4"/>
        <v>27426.434000000001</v>
      </c>
      <c r="O45" s="71">
        <v>27426.434000000001</v>
      </c>
      <c r="P45" s="72"/>
      <c r="Q45" s="71"/>
      <c r="R45" s="71"/>
      <c r="S45" s="71"/>
      <c r="T45" s="113"/>
      <c r="U45" s="113"/>
      <c r="V45" s="114"/>
    </row>
    <row r="46" spans="1:22" s="115" customFormat="1" ht="47.4" customHeight="1" x14ac:dyDescent="0.35">
      <c r="A46" s="79">
        <v>33</v>
      </c>
      <c r="B46" s="80" t="s">
        <v>189</v>
      </c>
      <c r="C46" s="71">
        <f t="shared" si="1"/>
        <v>20700</v>
      </c>
      <c r="D46" s="78"/>
      <c r="E46" s="71"/>
      <c r="F46" s="71">
        <v>20700</v>
      </c>
      <c r="G46" s="71">
        <f t="shared" si="3"/>
        <v>11704.317999999999</v>
      </c>
      <c r="H46" s="71"/>
      <c r="I46" s="71"/>
      <c r="J46" s="71"/>
      <c r="K46" s="71"/>
      <c r="L46" s="72"/>
      <c r="M46" s="71"/>
      <c r="N46" s="71">
        <f t="shared" si="4"/>
        <v>11704.317999999999</v>
      </c>
      <c r="O46" s="71">
        <v>11704.317999999999</v>
      </c>
      <c r="P46" s="72"/>
      <c r="Q46" s="71"/>
      <c r="R46" s="71"/>
      <c r="S46" s="71"/>
      <c r="T46" s="113"/>
      <c r="U46" s="113"/>
      <c r="V46" s="114"/>
    </row>
    <row r="47" spans="1:22" s="115" customFormat="1" ht="47.4" customHeight="1" x14ac:dyDescent="0.35">
      <c r="A47" s="79">
        <v>34</v>
      </c>
      <c r="B47" s="80" t="s">
        <v>190</v>
      </c>
      <c r="C47" s="71">
        <f t="shared" si="1"/>
        <v>109667</v>
      </c>
      <c r="D47" s="78"/>
      <c r="E47" s="71"/>
      <c r="F47" s="71">
        <v>109667</v>
      </c>
      <c r="G47" s="71">
        <f t="shared" si="3"/>
        <v>90865.612999999998</v>
      </c>
      <c r="H47" s="71"/>
      <c r="I47" s="71"/>
      <c r="J47" s="71"/>
      <c r="K47" s="71"/>
      <c r="L47" s="72"/>
      <c r="M47" s="71"/>
      <c r="N47" s="71">
        <f t="shared" si="4"/>
        <v>90865.612999999998</v>
      </c>
      <c r="O47" s="71">
        <v>90865.612999999998</v>
      </c>
      <c r="P47" s="72"/>
      <c r="Q47" s="71"/>
      <c r="R47" s="71"/>
      <c r="S47" s="71"/>
      <c r="T47" s="113"/>
      <c r="U47" s="113"/>
      <c r="V47" s="114"/>
    </row>
    <row r="48" spans="1:22" s="115" customFormat="1" ht="46.8" customHeight="1" x14ac:dyDescent="0.35">
      <c r="A48" s="79">
        <v>35</v>
      </c>
      <c r="B48" s="80" t="s">
        <v>191</v>
      </c>
      <c r="C48" s="71">
        <f t="shared" si="1"/>
        <v>69000</v>
      </c>
      <c r="D48" s="78"/>
      <c r="E48" s="71"/>
      <c r="F48" s="71">
        <v>69000</v>
      </c>
      <c r="G48" s="71">
        <f t="shared" si="3"/>
        <v>54948.116999999998</v>
      </c>
      <c r="H48" s="71"/>
      <c r="I48" s="71"/>
      <c r="J48" s="71"/>
      <c r="K48" s="71"/>
      <c r="L48" s="72"/>
      <c r="M48" s="71"/>
      <c r="N48" s="71">
        <f t="shared" si="4"/>
        <v>54948.116999999998</v>
      </c>
      <c r="O48" s="71">
        <v>54948.116999999998</v>
      </c>
      <c r="P48" s="72"/>
      <c r="Q48" s="71"/>
      <c r="R48" s="71"/>
      <c r="S48" s="71"/>
      <c r="T48" s="113"/>
      <c r="U48" s="113"/>
      <c r="V48" s="114"/>
    </row>
    <row r="49" spans="1:22" s="115" customFormat="1" ht="46.8" customHeight="1" x14ac:dyDescent="0.35">
      <c r="A49" s="79">
        <v>36</v>
      </c>
      <c r="B49" s="80" t="s">
        <v>192</v>
      </c>
      <c r="C49" s="71">
        <f t="shared" si="1"/>
        <v>12700</v>
      </c>
      <c r="D49" s="78"/>
      <c r="E49" s="71"/>
      <c r="F49" s="71">
        <v>12700</v>
      </c>
      <c r="G49" s="71">
        <f t="shared" si="3"/>
        <v>5890.8829999999998</v>
      </c>
      <c r="H49" s="71"/>
      <c r="I49" s="71"/>
      <c r="J49" s="71"/>
      <c r="K49" s="71"/>
      <c r="L49" s="72"/>
      <c r="M49" s="71"/>
      <c r="N49" s="71">
        <f t="shared" si="4"/>
        <v>5890.8829999999998</v>
      </c>
      <c r="O49" s="71">
        <v>5890.8829999999998</v>
      </c>
      <c r="P49" s="72"/>
      <c r="Q49" s="71"/>
      <c r="R49" s="71"/>
      <c r="S49" s="71"/>
      <c r="T49" s="113"/>
      <c r="U49" s="113"/>
      <c r="V49" s="114"/>
    </row>
    <row r="50" spans="1:22" s="115" customFormat="1" ht="46.8" customHeight="1" x14ac:dyDescent="0.35">
      <c r="A50" s="79">
        <v>37</v>
      </c>
      <c r="B50" s="80" t="s">
        <v>193</v>
      </c>
      <c r="C50" s="71">
        <f t="shared" si="1"/>
        <v>213500</v>
      </c>
      <c r="D50" s="78"/>
      <c r="E50" s="71"/>
      <c r="F50" s="71">
        <v>213500</v>
      </c>
      <c r="G50" s="71">
        <f t="shared" si="3"/>
        <v>30669.606</v>
      </c>
      <c r="H50" s="71"/>
      <c r="I50" s="71"/>
      <c r="J50" s="71"/>
      <c r="K50" s="71"/>
      <c r="L50" s="72"/>
      <c r="M50" s="71"/>
      <c r="N50" s="71">
        <f t="shared" si="4"/>
        <v>30669.606</v>
      </c>
      <c r="O50" s="71">
        <v>30669.606</v>
      </c>
      <c r="P50" s="72"/>
      <c r="Q50" s="71"/>
      <c r="R50" s="71"/>
      <c r="S50" s="71"/>
      <c r="T50" s="113"/>
      <c r="U50" s="113"/>
      <c r="V50" s="114"/>
    </row>
    <row r="51" spans="1:22" s="115" customFormat="1" ht="37.200000000000003" customHeight="1" x14ac:dyDescent="0.35">
      <c r="A51" s="79">
        <v>38</v>
      </c>
      <c r="B51" s="80" t="s">
        <v>194</v>
      </c>
      <c r="C51" s="71">
        <f t="shared" si="1"/>
        <v>101311.126</v>
      </c>
      <c r="D51" s="78"/>
      <c r="E51" s="71"/>
      <c r="F51" s="71">
        <v>101311.126</v>
      </c>
      <c r="G51" s="71">
        <f t="shared" si="3"/>
        <v>0</v>
      </c>
      <c r="H51" s="71"/>
      <c r="I51" s="71"/>
      <c r="J51" s="71"/>
      <c r="K51" s="71"/>
      <c r="L51" s="72"/>
      <c r="M51" s="71"/>
      <c r="N51" s="71"/>
      <c r="O51" s="71"/>
      <c r="P51" s="72"/>
      <c r="Q51" s="71"/>
      <c r="R51" s="71"/>
      <c r="S51" s="71"/>
      <c r="T51" s="113"/>
      <c r="U51" s="113"/>
      <c r="V51" s="114"/>
    </row>
    <row r="52" spans="1:22" s="115" customFormat="1" ht="48" customHeight="1" x14ac:dyDescent="0.35">
      <c r="A52" s="79">
        <v>39</v>
      </c>
      <c r="B52" s="80" t="s">
        <v>195</v>
      </c>
      <c r="C52" s="71">
        <f t="shared" si="1"/>
        <v>43600</v>
      </c>
      <c r="D52" s="78"/>
      <c r="E52" s="71"/>
      <c r="F52" s="71">
        <v>43600</v>
      </c>
      <c r="G52" s="71">
        <f t="shared" si="3"/>
        <v>27401.022000000001</v>
      </c>
      <c r="H52" s="71"/>
      <c r="I52" s="71"/>
      <c r="J52" s="71"/>
      <c r="K52" s="71"/>
      <c r="L52" s="72"/>
      <c r="M52" s="71"/>
      <c r="N52" s="71">
        <f t="shared" si="4"/>
        <v>27401.022000000001</v>
      </c>
      <c r="O52" s="71">
        <v>27401.022000000001</v>
      </c>
      <c r="P52" s="72"/>
      <c r="Q52" s="71"/>
      <c r="R52" s="71"/>
      <c r="S52" s="71"/>
      <c r="T52" s="113"/>
      <c r="U52" s="113"/>
      <c r="V52" s="114"/>
    </row>
    <row r="53" spans="1:22" s="115" customFormat="1" ht="58.2" customHeight="1" x14ac:dyDescent="0.35">
      <c r="A53" s="79">
        <v>40</v>
      </c>
      <c r="B53" s="80" t="s">
        <v>196</v>
      </c>
      <c r="C53" s="71">
        <f t="shared" si="1"/>
        <v>81600</v>
      </c>
      <c r="D53" s="78"/>
      <c r="E53" s="71"/>
      <c r="F53" s="71">
        <v>81600</v>
      </c>
      <c r="G53" s="71">
        <f t="shared" si="3"/>
        <v>64000</v>
      </c>
      <c r="H53" s="71"/>
      <c r="I53" s="71"/>
      <c r="J53" s="71"/>
      <c r="K53" s="71"/>
      <c r="L53" s="72"/>
      <c r="M53" s="71"/>
      <c r="N53" s="71">
        <f t="shared" si="4"/>
        <v>64000</v>
      </c>
      <c r="O53" s="71">
        <v>64000</v>
      </c>
      <c r="P53" s="72"/>
      <c r="Q53" s="71"/>
      <c r="R53" s="71"/>
      <c r="S53" s="71"/>
      <c r="T53" s="113"/>
      <c r="U53" s="113"/>
      <c r="V53" s="114"/>
    </row>
    <row r="54" spans="1:22" s="115" customFormat="1" ht="55.8" customHeight="1" x14ac:dyDescent="0.35">
      <c r="A54" s="79">
        <v>41</v>
      </c>
      <c r="B54" s="80" t="s">
        <v>197</v>
      </c>
      <c r="C54" s="71">
        <f t="shared" si="1"/>
        <v>109800</v>
      </c>
      <c r="D54" s="78"/>
      <c r="E54" s="71"/>
      <c r="F54" s="71">
        <v>109800</v>
      </c>
      <c r="G54" s="71">
        <f t="shared" si="3"/>
        <v>82586.502999999997</v>
      </c>
      <c r="H54" s="71"/>
      <c r="I54" s="71"/>
      <c r="J54" s="71"/>
      <c r="K54" s="71"/>
      <c r="L54" s="72"/>
      <c r="M54" s="71"/>
      <c r="N54" s="71">
        <f t="shared" si="4"/>
        <v>82586.502999999997</v>
      </c>
      <c r="O54" s="71">
        <v>82586.502999999997</v>
      </c>
      <c r="P54" s="72"/>
      <c r="Q54" s="71"/>
      <c r="R54" s="71"/>
      <c r="S54" s="71"/>
      <c r="T54" s="113"/>
      <c r="U54" s="113"/>
      <c r="V54" s="114"/>
    </row>
    <row r="55" spans="1:22" s="115" customFormat="1" ht="64.2" customHeight="1" x14ac:dyDescent="0.35">
      <c r="A55" s="79">
        <v>42</v>
      </c>
      <c r="B55" s="80" t="s">
        <v>198</v>
      </c>
      <c r="C55" s="71">
        <f t="shared" si="1"/>
        <v>141400</v>
      </c>
      <c r="D55" s="78"/>
      <c r="E55" s="71"/>
      <c r="F55" s="71">
        <v>141400</v>
      </c>
      <c r="G55" s="71">
        <f t="shared" si="3"/>
        <v>129798.57799999999</v>
      </c>
      <c r="H55" s="71"/>
      <c r="I55" s="71"/>
      <c r="J55" s="71"/>
      <c r="K55" s="71"/>
      <c r="L55" s="72"/>
      <c r="M55" s="71"/>
      <c r="N55" s="71">
        <f t="shared" si="4"/>
        <v>129798.57799999999</v>
      </c>
      <c r="O55" s="71">
        <v>129798.57799999999</v>
      </c>
      <c r="P55" s="72"/>
      <c r="Q55" s="71"/>
      <c r="R55" s="71"/>
      <c r="S55" s="71"/>
      <c r="T55" s="113"/>
      <c r="U55" s="113"/>
      <c r="V55" s="114"/>
    </row>
    <row r="56" spans="1:22" s="115" customFormat="1" ht="70.8" customHeight="1" x14ac:dyDescent="0.35">
      <c r="A56" s="79">
        <v>43</v>
      </c>
      <c r="B56" s="80" t="s">
        <v>199</v>
      </c>
      <c r="C56" s="71">
        <f t="shared" si="1"/>
        <v>40400</v>
      </c>
      <c r="D56" s="78"/>
      <c r="E56" s="71"/>
      <c r="F56" s="71">
        <v>40400</v>
      </c>
      <c r="G56" s="71">
        <f t="shared" si="3"/>
        <v>21881.416000000001</v>
      </c>
      <c r="H56" s="71"/>
      <c r="I56" s="71"/>
      <c r="J56" s="71"/>
      <c r="K56" s="71"/>
      <c r="L56" s="72"/>
      <c r="M56" s="71"/>
      <c r="N56" s="71">
        <f t="shared" si="4"/>
        <v>21881.416000000001</v>
      </c>
      <c r="O56" s="71">
        <v>21881.416000000001</v>
      </c>
      <c r="P56" s="72"/>
      <c r="Q56" s="71"/>
      <c r="R56" s="71"/>
      <c r="S56" s="71"/>
      <c r="T56" s="113"/>
      <c r="U56" s="113"/>
      <c r="V56" s="114"/>
    </row>
    <row r="57" spans="1:22" s="115" customFormat="1" ht="64.2" customHeight="1" x14ac:dyDescent="0.35">
      <c r="A57" s="79">
        <v>44</v>
      </c>
      <c r="B57" s="80" t="s">
        <v>200</v>
      </c>
      <c r="C57" s="71">
        <f t="shared" si="1"/>
        <v>41400</v>
      </c>
      <c r="D57" s="78"/>
      <c r="E57" s="71"/>
      <c r="F57" s="71">
        <v>41400</v>
      </c>
      <c r="G57" s="71">
        <f t="shared" si="3"/>
        <v>26185.293000000001</v>
      </c>
      <c r="H57" s="71"/>
      <c r="I57" s="71"/>
      <c r="J57" s="71"/>
      <c r="K57" s="71"/>
      <c r="L57" s="72"/>
      <c r="M57" s="71"/>
      <c r="N57" s="71">
        <f t="shared" si="4"/>
        <v>26185.293000000001</v>
      </c>
      <c r="O57" s="71">
        <v>26185.293000000001</v>
      </c>
      <c r="P57" s="72"/>
      <c r="Q57" s="71"/>
      <c r="R57" s="71"/>
      <c r="S57" s="71"/>
      <c r="T57" s="113"/>
      <c r="U57" s="113"/>
      <c r="V57" s="114"/>
    </row>
    <row r="58" spans="1:22" s="115" customFormat="1" ht="64.2" customHeight="1" x14ac:dyDescent="0.35">
      <c r="A58" s="79">
        <v>45</v>
      </c>
      <c r="B58" s="80" t="s">
        <v>201</v>
      </c>
      <c r="C58" s="71">
        <f t="shared" si="1"/>
        <v>183600</v>
      </c>
      <c r="D58" s="78"/>
      <c r="E58" s="71"/>
      <c r="F58" s="71">
        <v>183600</v>
      </c>
      <c r="G58" s="71">
        <f t="shared" si="3"/>
        <v>169983.03400000001</v>
      </c>
      <c r="H58" s="71"/>
      <c r="I58" s="71"/>
      <c r="J58" s="71"/>
      <c r="K58" s="71"/>
      <c r="L58" s="72"/>
      <c r="M58" s="71"/>
      <c r="N58" s="71">
        <f t="shared" si="4"/>
        <v>169983.03400000001</v>
      </c>
      <c r="O58" s="71">
        <v>169983.03400000001</v>
      </c>
      <c r="P58" s="72"/>
      <c r="Q58" s="71"/>
      <c r="R58" s="71"/>
      <c r="S58" s="71"/>
      <c r="T58" s="113"/>
      <c r="U58" s="113"/>
      <c r="V58" s="114"/>
    </row>
    <row r="59" spans="1:22" s="115" customFormat="1" ht="41.4" customHeight="1" x14ac:dyDescent="0.35">
      <c r="A59" s="79">
        <v>46</v>
      </c>
      <c r="B59" s="80" t="s">
        <v>202</v>
      </c>
      <c r="C59" s="71">
        <f t="shared" si="1"/>
        <v>412900</v>
      </c>
      <c r="D59" s="78"/>
      <c r="E59" s="71"/>
      <c r="F59" s="71">
        <v>412900</v>
      </c>
      <c r="G59" s="71">
        <f t="shared" si="3"/>
        <v>313511</v>
      </c>
      <c r="H59" s="71"/>
      <c r="I59" s="71"/>
      <c r="J59" s="71"/>
      <c r="K59" s="71"/>
      <c r="L59" s="72"/>
      <c r="M59" s="71"/>
      <c r="N59" s="71">
        <f t="shared" si="4"/>
        <v>313511</v>
      </c>
      <c r="O59" s="71">
        <v>313511</v>
      </c>
      <c r="P59" s="72"/>
      <c r="Q59" s="71"/>
      <c r="R59" s="71"/>
      <c r="S59" s="71"/>
      <c r="T59" s="113"/>
      <c r="U59" s="113"/>
      <c r="V59" s="114"/>
    </row>
    <row r="60" spans="1:22" s="115" customFormat="1" ht="48" customHeight="1" x14ac:dyDescent="0.35">
      <c r="A60" s="79">
        <v>47</v>
      </c>
      <c r="B60" s="80" t="s">
        <v>203</v>
      </c>
      <c r="C60" s="71">
        <f t="shared" si="1"/>
        <v>315000</v>
      </c>
      <c r="D60" s="78"/>
      <c r="E60" s="71"/>
      <c r="F60" s="71">
        <v>315000</v>
      </c>
      <c r="G60" s="71">
        <f t="shared" si="3"/>
        <v>258900</v>
      </c>
      <c r="H60" s="71"/>
      <c r="I60" s="71"/>
      <c r="J60" s="71"/>
      <c r="K60" s="71"/>
      <c r="L60" s="72"/>
      <c r="M60" s="71"/>
      <c r="N60" s="71">
        <f t="shared" si="4"/>
        <v>258900</v>
      </c>
      <c r="O60" s="71">
        <v>258900</v>
      </c>
      <c r="P60" s="72"/>
      <c r="Q60" s="71"/>
      <c r="R60" s="71"/>
      <c r="S60" s="71"/>
      <c r="T60" s="113"/>
      <c r="U60" s="113"/>
      <c r="V60" s="114"/>
    </row>
    <row r="61" spans="1:22" s="115" customFormat="1" ht="58.8" customHeight="1" x14ac:dyDescent="0.35">
      <c r="A61" s="79">
        <v>48</v>
      </c>
      <c r="B61" s="80" t="s">
        <v>204</v>
      </c>
      <c r="C61" s="71">
        <f t="shared" si="1"/>
        <v>480000</v>
      </c>
      <c r="D61" s="78"/>
      <c r="E61" s="71"/>
      <c r="F61" s="71">
        <v>480000</v>
      </c>
      <c r="G61" s="71">
        <f t="shared" si="3"/>
        <v>413600</v>
      </c>
      <c r="H61" s="71"/>
      <c r="I61" s="71"/>
      <c r="J61" s="71"/>
      <c r="K61" s="71"/>
      <c r="L61" s="72"/>
      <c r="M61" s="71"/>
      <c r="N61" s="71">
        <f t="shared" si="4"/>
        <v>413600</v>
      </c>
      <c r="O61" s="71">
        <v>413600</v>
      </c>
      <c r="P61" s="72"/>
      <c r="Q61" s="71"/>
      <c r="R61" s="71"/>
      <c r="S61" s="71"/>
      <c r="T61" s="113"/>
      <c r="U61" s="113"/>
      <c r="V61" s="114"/>
    </row>
    <row r="62" spans="1:22" s="115" customFormat="1" ht="42.6" customHeight="1" x14ac:dyDescent="0.35">
      <c r="A62" s="79">
        <v>49</v>
      </c>
      <c r="B62" s="80" t="s">
        <v>205</v>
      </c>
      <c r="C62" s="71">
        <f t="shared" si="1"/>
        <v>441000</v>
      </c>
      <c r="D62" s="78"/>
      <c r="E62" s="71"/>
      <c r="F62" s="71">
        <v>441000</v>
      </c>
      <c r="G62" s="71">
        <f t="shared" si="3"/>
        <v>253464</v>
      </c>
      <c r="H62" s="71"/>
      <c r="I62" s="71"/>
      <c r="J62" s="71"/>
      <c r="K62" s="71"/>
      <c r="L62" s="72"/>
      <c r="M62" s="71"/>
      <c r="N62" s="71">
        <f t="shared" si="4"/>
        <v>253464</v>
      </c>
      <c r="O62" s="71">
        <v>253464</v>
      </c>
      <c r="P62" s="72"/>
      <c r="Q62" s="71"/>
      <c r="R62" s="71"/>
      <c r="S62" s="71"/>
      <c r="T62" s="113"/>
      <c r="U62" s="113"/>
      <c r="V62" s="114"/>
    </row>
    <row r="63" spans="1:22" s="115" customFormat="1" ht="49.8" customHeight="1" x14ac:dyDescent="0.35">
      <c r="A63" s="79">
        <v>50</v>
      </c>
      <c r="B63" s="80" t="s">
        <v>206</v>
      </c>
      <c r="C63" s="71">
        <f t="shared" si="1"/>
        <v>6588700</v>
      </c>
      <c r="D63" s="78">
        <v>6588700</v>
      </c>
      <c r="E63" s="71"/>
      <c r="F63" s="71">
        <v>0</v>
      </c>
      <c r="G63" s="71">
        <f t="shared" si="3"/>
        <v>5653258.6840000004</v>
      </c>
      <c r="H63" s="71">
        <v>5653258.6840000004</v>
      </c>
      <c r="I63" s="71"/>
      <c r="J63" s="71"/>
      <c r="K63" s="71"/>
      <c r="L63" s="72"/>
      <c r="M63" s="71"/>
      <c r="N63" s="71"/>
      <c r="O63" s="71"/>
      <c r="P63" s="72"/>
      <c r="Q63" s="71"/>
      <c r="R63" s="71"/>
      <c r="S63" s="71"/>
      <c r="T63" s="113"/>
      <c r="U63" s="113"/>
      <c r="V63" s="114"/>
    </row>
    <row r="64" spans="1:22" s="115" customFormat="1" ht="45.6" customHeight="1" x14ac:dyDescent="0.35">
      <c r="A64" s="79">
        <v>51</v>
      </c>
      <c r="B64" s="80" t="s">
        <v>207</v>
      </c>
      <c r="C64" s="71">
        <f t="shared" si="1"/>
        <v>59540</v>
      </c>
      <c r="D64" s="78"/>
      <c r="E64" s="71"/>
      <c r="F64" s="71">
        <v>59540</v>
      </c>
      <c r="G64" s="71">
        <f t="shared" si="3"/>
        <v>52618</v>
      </c>
      <c r="H64" s="71"/>
      <c r="I64" s="71"/>
      <c r="J64" s="71"/>
      <c r="K64" s="71"/>
      <c r="L64" s="72"/>
      <c r="M64" s="71"/>
      <c r="N64" s="71">
        <f t="shared" si="4"/>
        <v>52618</v>
      </c>
      <c r="O64" s="71">
        <v>52618</v>
      </c>
      <c r="P64" s="72"/>
      <c r="Q64" s="71"/>
      <c r="R64" s="71"/>
      <c r="S64" s="71"/>
      <c r="T64" s="113"/>
      <c r="U64" s="113"/>
      <c r="V64" s="114"/>
    </row>
    <row r="65" spans="1:22" s="115" customFormat="1" ht="45.6" customHeight="1" x14ac:dyDescent="0.35">
      <c r="A65" s="79">
        <v>52</v>
      </c>
      <c r="B65" s="80" t="s">
        <v>208</v>
      </c>
      <c r="C65" s="71">
        <f t="shared" si="1"/>
        <v>210000</v>
      </c>
      <c r="D65" s="78"/>
      <c r="E65" s="71"/>
      <c r="F65" s="71">
        <v>210000</v>
      </c>
      <c r="G65" s="71">
        <f t="shared" si="3"/>
        <v>185166</v>
      </c>
      <c r="H65" s="71"/>
      <c r="I65" s="71"/>
      <c r="J65" s="71"/>
      <c r="K65" s="71"/>
      <c r="L65" s="72"/>
      <c r="M65" s="71"/>
      <c r="N65" s="71">
        <f t="shared" si="4"/>
        <v>185166</v>
      </c>
      <c r="O65" s="71">
        <v>185166</v>
      </c>
      <c r="P65" s="72"/>
      <c r="Q65" s="71"/>
      <c r="R65" s="71"/>
      <c r="S65" s="71"/>
      <c r="T65" s="113"/>
      <c r="U65" s="113"/>
      <c r="V65" s="114"/>
    </row>
    <row r="66" spans="1:22" s="115" customFormat="1" ht="48.6" customHeight="1" x14ac:dyDescent="0.35">
      <c r="A66" s="79">
        <v>53</v>
      </c>
      <c r="B66" s="80" t="s">
        <v>209</v>
      </c>
      <c r="C66" s="71">
        <f t="shared" si="1"/>
        <v>589620</v>
      </c>
      <c r="D66" s="78"/>
      <c r="E66" s="71"/>
      <c r="F66" s="71">
        <v>589620</v>
      </c>
      <c r="G66" s="71">
        <f t="shared" si="3"/>
        <v>520601</v>
      </c>
      <c r="H66" s="71"/>
      <c r="I66" s="71"/>
      <c r="J66" s="71"/>
      <c r="K66" s="71"/>
      <c r="L66" s="72"/>
      <c r="M66" s="71"/>
      <c r="N66" s="71">
        <f t="shared" si="4"/>
        <v>520601</v>
      </c>
      <c r="O66" s="71">
        <v>520601</v>
      </c>
      <c r="P66" s="72"/>
      <c r="Q66" s="71"/>
      <c r="R66" s="71"/>
      <c r="S66" s="71"/>
      <c r="T66" s="113"/>
      <c r="U66" s="113"/>
      <c r="V66" s="114"/>
    </row>
    <row r="67" spans="1:22" s="115" customFormat="1" ht="58.2" customHeight="1" x14ac:dyDescent="0.35">
      <c r="A67" s="79">
        <v>54</v>
      </c>
      <c r="B67" s="80" t="s">
        <v>210</v>
      </c>
      <c r="C67" s="71">
        <f t="shared" si="1"/>
        <v>330800</v>
      </c>
      <c r="D67" s="78"/>
      <c r="E67" s="71"/>
      <c r="F67" s="71">
        <v>330800</v>
      </c>
      <c r="G67" s="71">
        <f t="shared" si="3"/>
        <v>270000</v>
      </c>
      <c r="H67" s="71"/>
      <c r="I67" s="71"/>
      <c r="J67" s="71"/>
      <c r="K67" s="71"/>
      <c r="L67" s="72"/>
      <c r="M67" s="71"/>
      <c r="N67" s="71">
        <f t="shared" si="4"/>
        <v>270000</v>
      </c>
      <c r="O67" s="71">
        <v>270000</v>
      </c>
      <c r="P67" s="72"/>
      <c r="Q67" s="71"/>
      <c r="R67" s="71"/>
      <c r="S67" s="71"/>
      <c r="T67" s="113"/>
      <c r="U67" s="113"/>
      <c r="V67" s="114"/>
    </row>
    <row r="68" spans="1:22" s="115" customFormat="1" ht="48.6" customHeight="1" x14ac:dyDescent="0.35">
      <c r="A68" s="79">
        <v>55</v>
      </c>
      <c r="B68" s="80" t="s">
        <v>211</v>
      </c>
      <c r="C68" s="71">
        <f t="shared" si="1"/>
        <v>522300</v>
      </c>
      <c r="D68" s="78"/>
      <c r="E68" s="71"/>
      <c r="F68" s="71">
        <v>522300</v>
      </c>
      <c r="G68" s="71">
        <f t="shared" si="3"/>
        <v>461000</v>
      </c>
      <c r="H68" s="71"/>
      <c r="I68" s="71"/>
      <c r="J68" s="71"/>
      <c r="K68" s="71"/>
      <c r="L68" s="72"/>
      <c r="M68" s="71"/>
      <c r="N68" s="71">
        <f t="shared" si="4"/>
        <v>461000</v>
      </c>
      <c r="O68" s="71">
        <v>461000</v>
      </c>
      <c r="P68" s="72"/>
      <c r="Q68" s="71"/>
      <c r="R68" s="71"/>
      <c r="S68" s="71"/>
      <c r="T68" s="113"/>
      <c r="U68" s="113"/>
      <c r="V68" s="114"/>
    </row>
    <row r="69" spans="1:22" s="115" customFormat="1" ht="48.6" customHeight="1" x14ac:dyDescent="0.35">
      <c r="A69" s="79">
        <v>56</v>
      </c>
      <c r="B69" s="80" t="s">
        <v>212</v>
      </c>
      <c r="C69" s="71">
        <f t="shared" si="1"/>
        <v>742400</v>
      </c>
      <c r="D69" s="78"/>
      <c r="E69" s="71"/>
      <c r="F69" s="71">
        <v>742400</v>
      </c>
      <c r="G69" s="71">
        <f t="shared" si="3"/>
        <v>651282</v>
      </c>
      <c r="H69" s="71"/>
      <c r="I69" s="71"/>
      <c r="J69" s="71"/>
      <c r="K69" s="71"/>
      <c r="L69" s="72"/>
      <c r="M69" s="71"/>
      <c r="N69" s="71">
        <f t="shared" si="4"/>
        <v>651282</v>
      </c>
      <c r="O69" s="71">
        <v>651282</v>
      </c>
      <c r="P69" s="72"/>
      <c r="Q69" s="71"/>
      <c r="R69" s="71"/>
      <c r="S69" s="71"/>
      <c r="T69" s="113"/>
      <c r="U69" s="113"/>
      <c r="V69" s="114"/>
    </row>
    <row r="70" spans="1:22" s="115" customFormat="1" ht="61.2" customHeight="1" x14ac:dyDescent="0.35">
      <c r="A70" s="79">
        <v>57</v>
      </c>
      <c r="B70" s="80" t="s">
        <v>213</v>
      </c>
      <c r="C70" s="71">
        <f t="shared" si="1"/>
        <v>138410</v>
      </c>
      <c r="D70" s="78"/>
      <c r="E70" s="71"/>
      <c r="F70" s="71">
        <v>138410</v>
      </c>
      <c r="G70" s="71">
        <f t="shared" si="3"/>
        <v>128000</v>
      </c>
      <c r="H70" s="71"/>
      <c r="I70" s="71"/>
      <c r="J70" s="71"/>
      <c r="K70" s="71"/>
      <c r="L70" s="72"/>
      <c r="M70" s="71"/>
      <c r="N70" s="71">
        <f t="shared" si="4"/>
        <v>128000</v>
      </c>
      <c r="O70" s="71">
        <v>128000</v>
      </c>
      <c r="P70" s="72"/>
      <c r="Q70" s="71"/>
      <c r="R70" s="71"/>
      <c r="S70" s="71"/>
      <c r="T70" s="113"/>
      <c r="U70" s="113"/>
      <c r="V70" s="114"/>
    </row>
    <row r="71" spans="1:22" s="115" customFormat="1" ht="58.8" customHeight="1" x14ac:dyDescent="0.35">
      <c r="A71" s="79">
        <v>58</v>
      </c>
      <c r="B71" s="80" t="s">
        <v>214</v>
      </c>
      <c r="C71" s="71">
        <f t="shared" si="1"/>
        <v>158000</v>
      </c>
      <c r="D71" s="78"/>
      <c r="E71" s="71"/>
      <c r="F71" s="71">
        <v>158000</v>
      </c>
      <c r="G71" s="71">
        <f t="shared" si="3"/>
        <v>134700</v>
      </c>
      <c r="H71" s="71"/>
      <c r="I71" s="71"/>
      <c r="J71" s="71"/>
      <c r="K71" s="71"/>
      <c r="L71" s="72"/>
      <c r="M71" s="71"/>
      <c r="N71" s="71">
        <f t="shared" si="4"/>
        <v>134700</v>
      </c>
      <c r="O71" s="71">
        <v>134700</v>
      </c>
      <c r="P71" s="72"/>
      <c r="Q71" s="71"/>
      <c r="R71" s="71"/>
      <c r="S71" s="71"/>
      <c r="T71" s="113"/>
      <c r="U71" s="113"/>
      <c r="V71" s="114"/>
    </row>
    <row r="72" spans="1:22" s="115" customFormat="1" ht="42.6" customHeight="1" x14ac:dyDescent="0.35">
      <c r="A72" s="79">
        <v>59</v>
      </c>
      <c r="B72" s="80" t="s">
        <v>215</v>
      </c>
      <c r="C72" s="71">
        <f t="shared" si="1"/>
        <v>295000</v>
      </c>
      <c r="D72" s="78"/>
      <c r="E72" s="71"/>
      <c r="F72" s="71">
        <v>295000</v>
      </c>
      <c r="G72" s="71">
        <f t="shared" si="3"/>
        <v>252900</v>
      </c>
      <c r="H72" s="71"/>
      <c r="I72" s="71"/>
      <c r="J72" s="71"/>
      <c r="K72" s="71"/>
      <c r="L72" s="72"/>
      <c r="M72" s="71"/>
      <c r="N72" s="71">
        <f t="shared" si="4"/>
        <v>252900</v>
      </c>
      <c r="O72" s="71">
        <v>252900</v>
      </c>
      <c r="P72" s="72"/>
      <c r="Q72" s="71"/>
      <c r="R72" s="71"/>
      <c r="S72" s="71"/>
      <c r="T72" s="113"/>
      <c r="U72" s="113"/>
      <c r="V72" s="114"/>
    </row>
    <row r="73" spans="1:22" s="115" customFormat="1" ht="54" customHeight="1" x14ac:dyDescent="0.35">
      <c r="A73" s="79">
        <v>60</v>
      </c>
      <c r="B73" s="80" t="s">
        <v>216</v>
      </c>
      <c r="C73" s="71">
        <f t="shared" si="1"/>
        <v>220500</v>
      </c>
      <c r="D73" s="78"/>
      <c r="E73" s="71"/>
      <c r="F73" s="71">
        <v>220500</v>
      </c>
      <c r="G73" s="71">
        <f t="shared" si="3"/>
        <v>189000</v>
      </c>
      <c r="H73" s="71"/>
      <c r="I73" s="71"/>
      <c r="J73" s="71"/>
      <c r="K73" s="71"/>
      <c r="L73" s="72"/>
      <c r="M73" s="71"/>
      <c r="N73" s="71">
        <f t="shared" si="4"/>
        <v>189000</v>
      </c>
      <c r="O73" s="71">
        <v>189000</v>
      </c>
      <c r="P73" s="72"/>
      <c r="Q73" s="71"/>
      <c r="R73" s="71"/>
      <c r="S73" s="71"/>
      <c r="T73" s="113"/>
      <c r="U73" s="113"/>
      <c r="V73" s="114"/>
    </row>
    <row r="74" spans="1:22" s="115" customFormat="1" ht="51.6" customHeight="1" x14ac:dyDescent="0.35">
      <c r="A74" s="79">
        <v>61</v>
      </c>
      <c r="B74" s="80" t="s">
        <v>217</v>
      </c>
      <c r="C74" s="71">
        <f t="shared" si="1"/>
        <v>341970</v>
      </c>
      <c r="D74" s="78"/>
      <c r="E74" s="71"/>
      <c r="F74" s="71">
        <v>341970</v>
      </c>
      <c r="G74" s="71">
        <f t="shared" si="3"/>
        <v>289800</v>
      </c>
      <c r="H74" s="71"/>
      <c r="I74" s="71"/>
      <c r="J74" s="71"/>
      <c r="K74" s="71"/>
      <c r="L74" s="72"/>
      <c r="M74" s="71"/>
      <c r="N74" s="71">
        <f t="shared" si="4"/>
        <v>289800</v>
      </c>
      <c r="O74" s="71">
        <v>289800</v>
      </c>
      <c r="P74" s="72"/>
      <c r="Q74" s="71"/>
      <c r="R74" s="71"/>
      <c r="S74" s="71"/>
      <c r="T74" s="113"/>
      <c r="U74" s="113"/>
      <c r="V74" s="114"/>
    </row>
    <row r="75" spans="1:22" s="115" customFormat="1" ht="47.4" customHeight="1" x14ac:dyDescent="0.35">
      <c r="A75" s="79">
        <v>62</v>
      </c>
      <c r="B75" s="80" t="s">
        <v>218</v>
      </c>
      <c r="C75" s="71">
        <f t="shared" si="1"/>
        <v>299900</v>
      </c>
      <c r="D75" s="78"/>
      <c r="E75" s="71"/>
      <c r="F75" s="71">
        <v>299900</v>
      </c>
      <c r="G75" s="71">
        <f t="shared" si="3"/>
        <v>252900</v>
      </c>
      <c r="H75" s="71"/>
      <c r="I75" s="71"/>
      <c r="J75" s="71"/>
      <c r="K75" s="71"/>
      <c r="L75" s="72"/>
      <c r="M75" s="71"/>
      <c r="N75" s="71">
        <f t="shared" si="4"/>
        <v>252900</v>
      </c>
      <c r="O75" s="71">
        <v>252900</v>
      </c>
      <c r="P75" s="72"/>
      <c r="Q75" s="71"/>
      <c r="R75" s="71"/>
      <c r="S75" s="71"/>
      <c r="T75" s="113"/>
      <c r="U75" s="113"/>
      <c r="V75" s="114"/>
    </row>
    <row r="76" spans="1:22" s="115" customFormat="1" ht="44.4" customHeight="1" x14ac:dyDescent="0.35">
      <c r="A76" s="79">
        <v>63</v>
      </c>
      <c r="B76" s="80" t="s">
        <v>219</v>
      </c>
      <c r="C76" s="71">
        <f t="shared" si="1"/>
        <v>126860</v>
      </c>
      <c r="D76" s="78"/>
      <c r="E76" s="71"/>
      <c r="F76" s="71">
        <v>126860</v>
      </c>
      <c r="G76" s="71">
        <f t="shared" si="3"/>
        <v>107000</v>
      </c>
      <c r="H76" s="71"/>
      <c r="I76" s="71"/>
      <c r="J76" s="71"/>
      <c r="K76" s="71"/>
      <c r="L76" s="72"/>
      <c r="M76" s="71"/>
      <c r="N76" s="71">
        <f t="shared" si="4"/>
        <v>107000</v>
      </c>
      <c r="O76" s="71">
        <v>107000</v>
      </c>
      <c r="P76" s="72"/>
      <c r="Q76" s="71"/>
      <c r="R76" s="71"/>
      <c r="S76" s="71"/>
      <c r="T76" s="113"/>
      <c r="U76" s="113"/>
      <c r="V76" s="114"/>
    </row>
    <row r="77" spans="1:22" s="115" customFormat="1" ht="44.4" customHeight="1" x14ac:dyDescent="0.35">
      <c r="A77" s="79">
        <v>64</v>
      </c>
      <c r="B77" s="80" t="s">
        <v>220</v>
      </c>
      <c r="C77" s="71">
        <f t="shared" si="1"/>
        <v>244800</v>
      </c>
      <c r="D77" s="78"/>
      <c r="E77" s="71"/>
      <c r="F77" s="71">
        <v>244800</v>
      </c>
      <c r="G77" s="71">
        <f t="shared" si="3"/>
        <v>0</v>
      </c>
      <c r="H77" s="71"/>
      <c r="I77" s="71"/>
      <c r="J77" s="71"/>
      <c r="K77" s="71"/>
      <c r="L77" s="72"/>
      <c r="M77" s="71"/>
      <c r="N77" s="71"/>
      <c r="O77" s="71"/>
      <c r="P77" s="72"/>
      <c r="Q77" s="71"/>
      <c r="R77" s="71"/>
      <c r="S77" s="71"/>
      <c r="T77" s="113"/>
      <c r="U77" s="113"/>
      <c r="V77" s="114"/>
    </row>
    <row r="78" spans="1:22" s="115" customFormat="1" ht="44.4" customHeight="1" x14ac:dyDescent="0.35">
      <c r="A78" s="79">
        <v>65</v>
      </c>
      <c r="B78" s="80" t="s">
        <v>221</v>
      </c>
      <c r="C78" s="71">
        <f t="shared" si="1"/>
        <v>257300</v>
      </c>
      <c r="D78" s="78"/>
      <c r="E78" s="71"/>
      <c r="F78" s="71">
        <v>257300</v>
      </c>
      <c r="G78" s="71">
        <f t="shared" si="3"/>
        <v>225000</v>
      </c>
      <c r="H78" s="71"/>
      <c r="I78" s="71"/>
      <c r="J78" s="71"/>
      <c r="K78" s="71"/>
      <c r="L78" s="72"/>
      <c r="M78" s="71"/>
      <c r="N78" s="71">
        <f t="shared" ref="N78:N85" si="6">SUM(O78:P78)</f>
        <v>225000</v>
      </c>
      <c r="O78" s="71">
        <v>225000</v>
      </c>
      <c r="P78" s="72"/>
      <c r="Q78" s="71"/>
      <c r="R78" s="71"/>
      <c r="S78" s="71"/>
      <c r="T78" s="113"/>
      <c r="U78" s="113"/>
      <c r="V78" s="114"/>
    </row>
    <row r="79" spans="1:22" s="115" customFormat="1" ht="44.4" customHeight="1" x14ac:dyDescent="0.35">
      <c r="A79" s="79">
        <v>66</v>
      </c>
      <c r="B79" s="80" t="s">
        <v>222</v>
      </c>
      <c r="C79" s="71">
        <f t="shared" ref="C79:C85" si="7">SUM(D79:F79)</f>
        <v>43950</v>
      </c>
      <c r="D79" s="78"/>
      <c r="E79" s="71"/>
      <c r="F79" s="71">
        <v>43950</v>
      </c>
      <c r="G79" s="71">
        <f t="shared" si="3"/>
        <v>38500</v>
      </c>
      <c r="H79" s="71"/>
      <c r="I79" s="71"/>
      <c r="J79" s="71"/>
      <c r="K79" s="71"/>
      <c r="L79" s="72"/>
      <c r="M79" s="71"/>
      <c r="N79" s="71">
        <f t="shared" si="6"/>
        <v>38500</v>
      </c>
      <c r="O79" s="71">
        <v>38500</v>
      </c>
      <c r="P79" s="72"/>
      <c r="Q79" s="71"/>
      <c r="R79" s="71"/>
      <c r="S79" s="71"/>
      <c r="T79" s="113"/>
      <c r="U79" s="113"/>
      <c r="V79" s="114"/>
    </row>
    <row r="80" spans="1:22" s="115" customFormat="1" ht="44.4" customHeight="1" x14ac:dyDescent="0.35">
      <c r="A80" s="79">
        <v>67</v>
      </c>
      <c r="B80" s="80" t="s">
        <v>223</v>
      </c>
      <c r="C80" s="71">
        <f t="shared" si="7"/>
        <v>257300</v>
      </c>
      <c r="D80" s="78"/>
      <c r="E80" s="71"/>
      <c r="F80" s="71">
        <v>257300</v>
      </c>
      <c r="G80" s="71">
        <f t="shared" si="3"/>
        <v>191000</v>
      </c>
      <c r="H80" s="71"/>
      <c r="I80" s="71"/>
      <c r="J80" s="71"/>
      <c r="K80" s="71"/>
      <c r="L80" s="72"/>
      <c r="M80" s="71"/>
      <c r="N80" s="71">
        <f t="shared" si="6"/>
        <v>191000</v>
      </c>
      <c r="O80" s="71">
        <v>191000</v>
      </c>
      <c r="P80" s="72"/>
      <c r="Q80" s="71"/>
      <c r="R80" s="71"/>
      <c r="S80" s="71"/>
      <c r="T80" s="113"/>
      <c r="U80" s="113"/>
      <c r="V80" s="114"/>
    </row>
    <row r="81" spans="1:22" s="115" customFormat="1" ht="48" customHeight="1" x14ac:dyDescent="0.35">
      <c r="A81" s="79">
        <v>68</v>
      </c>
      <c r="B81" s="80" t="s">
        <v>224</v>
      </c>
      <c r="C81" s="71">
        <f t="shared" si="7"/>
        <v>330800</v>
      </c>
      <c r="D81" s="78"/>
      <c r="E81" s="71"/>
      <c r="F81" s="71">
        <v>330800</v>
      </c>
      <c r="G81" s="71">
        <f t="shared" ref="G81:G84" si="8">H81+K81+N81</f>
        <v>295000</v>
      </c>
      <c r="H81" s="71"/>
      <c r="I81" s="71"/>
      <c r="J81" s="71"/>
      <c r="K81" s="71"/>
      <c r="L81" s="72"/>
      <c r="M81" s="71"/>
      <c r="N81" s="71">
        <f t="shared" si="6"/>
        <v>295000</v>
      </c>
      <c r="O81" s="71">
        <v>295000</v>
      </c>
      <c r="P81" s="72"/>
      <c r="Q81" s="71"/>
      <c r="R81" s="71"/>
      <c r="S81" s="71"/>
      <c r="T81" s="113"/>
      <c r="U81" s="113"/>
      <c r="V81" s="114"/>
    </row>
    <row r="82" spans="1:22" s="115" customFormat="1" ht="66.599999999999994" customHeight="1" x14ac:dyDescent="0.35">
      <c r="A82" s="79">
        <v>69</v>
      </c>
      <c r="B82" s="80" t="s">
        <v>225</v>
      </c>
      <c r="C82" s="71">
        <f t="shared" si="7"/>
        <v>1441700</v>
      </c>
      <c r="D82" s="78"/>
      <c r="E82" s="71"/>
      <c r="F82" s="71">
        <v>1441700</v>
      </c>
      <c r="G82" s="71">
        <f t="shared" si="8"/>
        <v>1269000</v>
      </c>
      <c r="H82" s="71"/>
      <c r="I82" s="71"/>
      <c r="J82" s="71"/>
      <c r="K82" s="71"/>
      <c r="L82" s="72"/>
      <c r="M82" s="71"/>
      <c r="N82" s="71">
        <f t="shared" si="6"/>
        <v>1269000</v>
      </c>
      <c r="O82" s="71">
        <v>1269000</v>
      </c>
      <c r="P82" s="72"/>
      <c r="Q82" s="71"/>
      <c r="R82" s="71"/>
      <c r="S82" s="71"/>
      <c r="T82" s="113"/>
      <c r="U82" s="113"/>
      <c r="V82" s="114"/>
    </row>
    <row r="83" spans="1:22" s="115" customFormat="1" ht="53.4" customHeight="1" x14ac:dyDescent="0.35">
      <c r="A83" s="79">
        <v>70</v>
      </c>
      <c r="B83" s="80" t="s">
        <v>226</v>
      </c>
      <c r="C83" s="71">
        <f t="shared" si="7"/>
        <v>77352.115000000005</v>
      </c>
      <c r="D83" s="78">
        <v>77352.115000000005</v>
      </c>
      <c r="E83" s="71"/>
      <c r="F83" s="71">
        <v>0</v>
      </c>
      <c r="G83" s="71">
        <f t="shared" si="8"/>
        <v>76947.827000000005</v>
      </c>
      <c r="H83" s="71">
        <v>76947.827000000005</v>
      </c>
      <c r="I83" s="71"/>
      <c r="J83" s="71"/>
      <c r="K83" s="71"/>
      <c r="L83" s="72"/>
      <c r="M83" s="71"/>
      <c r="N83" s="71"/>
      <c r="O83" s="71"/>
      <c r="P83" s="72"/>
      <c r="Q83" s="71"/>
      <c r="R83" s="71"/>
      <c r="S83" s="71"/>
      <c r="T83" s="113"/>
      <c r="U83" s="113"/>
      <c r="V83" s="114"/>
    </row>
    <row r="84" spans="1:22" s="115" customFormat="1" ht="49.8" customHeight="1" x14ac:dyDescent="0.35">
      <c r="A84" s="79">
        <v>71</v>
      </c>
      <c r="B84" s="80" t="s">
        <v>227</v>
      </c>
      <c r="C84" s="71">
        <f t="shared" si="7"/>
        <v>137955.264</v>
      </c>
      <c r="D84" s="78">
        <v>137955.264</v>
      </c>
      <c r="E84" s="71"/>
      <c r="F84" s="71">
        <v>0</v>
      </c>
      <c r="G84" s="71">
        <f t="shared" si="8"/>
        <v>132478</v>
      </c>
      <c r="H84" s="71">
        <v>132478</v>
      </c>
      <c r="I84" s="71"/>
      <c r="J84" s="71"/>
      <c r="K84" s="71"/>
      <c r="L84" s="72"/>
      <c r="M84" s="71"/>
      <c r="N84" s="71"/>
      <c r="O84" s="71"/>
      <c r="P84" s="72"/>
      <c r="Q84" s="71"/>
      <c r="R84" s="71"/>
      <c r="S84" s="71"/>
      <c r="T84" s="113"/>
      <c r="U84" s="113"/>
      <c r="V84" s="114"/>
    </row>
    <row r="85" spans="1:22" s="115" customFormat="1" ht="55.2" customHeight="1" x14ac:dyDescent="0.35">
      <c r="A85" s="79">
        <v>72</v>
      </c>
      <c r="B85" s="80" t="s">
        <v>228</v>
      </c>
      <c r="C85" s="71">
        <f t="shared" si="7"/>
        <v>1016000</v>
      </c>
      <c r="D85" s="78"/>
      <c r="E85" s="71"/>
      <c r="F85" s="71">
        <v>1016000</v>
      </c>
      <c r="G85" s="71">
        <f>H85+K85++Q85+R85+N85</f>
        <v>910000</v>
      </c>
      <c r="H85" s="71"/>
      <c r="I85" s="71"/>
      <c r="J85" s="71"/>
      <c r="K85" s="71"/>
      <c r="L85" s="72"/>
      <c r="M85" s="71"/>
      <c r="N85" s="71">
        <f t="shared" si="6"/>
        <v>910000</v>
      </c>
      <c r="O85" s="71">
        <v>910000</v>
      </c>
      <c r="P85" s="72"/>
      <c r="Q85" s="71"/>
      <c r="R85" s="71"/>
      <c r="S85" s="71"/>
      <c r="T85" s="113"/>
      <c r="U85" s="113"/>
      <c r="V85" s="114"/>
    </row>
    <row r="86" spans="1:22" s="115" customFormat="1" ht="55.2" customHeight="1" x14ac:dyDescent="0.35">
      <c r="A86" s="79">
        <v>73</v>
      </c>
      <c r="B86" s="80" t="s">
        <v>229</v>
      </c>
      <c r="C86" s="71">
        <f>SUM(D86:F86)</f>
        <v>53860000</v>
      </c>
      <c r="D86" s="71"/>
      <c r="E86" s="81">
        <v>53860000</v>
      </c>
      <c r="F86" s="71"/>
      <c r="G86" s="71">
        <f>H86+K86++Q86+R86+N86</f>
        <v>10599893.289000001</v>
      </c>
      <c r="H86" s="71"/>
      <c r="I86" s="71"/>
      <c r="J86" s="71"/>
      <c r="K86" s="71">
        <f>53860000/1000</f>
        <v>53860</v>
      </c>
      <c r="L86" s="118"/>
      <c r="M86" s="71"/>
      <c r="N86" s="71"/>
      <c r="O86" s="71"/>
      <c r="P86" s="118"/>
      <c r="Q86" s="81">
        <f>9850802272/1000</f>
        <v>9850802.2719999999</v>
      </c>
      <c r="R86" s="81">
        <f>695231017/1000</f>
        <v>695231.01699999999</v>
      </c>
      <c r="S86" s="71"/>
      <c r="T86" s="113"/>
      <c r="U86" s="113"/>
      <c r="V86" s="114"/>
    </row>
    <row r="87" spans="1:22" ht="13.8" x14ac:dyDescent="0.35">
      <c r="A87" s="119" t="s">
        <v>262</v>
      </c>
    </row>
    <row r="88" spans="1:22" x14ac:dyDescent="0.35">
      <c r="A88" s="120" t="s">
        <v>263</v>
      </c>
    </row>
    <row r="89" spans="1:22" x14ac:dyDescent="0.35">
      <c r="A89" s="120" t="s">
        <v>264</v>
      </c>
    </row>
    <row r="90" spans="1:22" x14ac:dyDescent="0.35">
      <c r="A90" s="120" t="s">
        <v>265</v>
      </c>
    </row>
    <row r="91" spans="1:22" x14ac:dyDescent="0.35">
      <c r="A91" s="121"/>
    </row>
    <row r="92" spans="1:22" x14ac:dyDescent="0.35">
      <c r="A92" s="121"/>
    </row>
    <row r="93" spans="1:22" x14ac:dyDescent="0.35">
      <c r="A93" s="121"/>
    </row>
    <row r="94" spans="1:22" x14ac:dyDescent="0.35">
      <c r="A94" s="121"/>
    </row>
    <row r="95" spans="1:22" x14ac:dyDescent="0.35">
      <c r="A95" s="121"/>
    </row>
    <row r="96" spans="1:22" x14ac:dyDescent="0.35">
      <c r="A96" s="121"/>
    </row>
    <row r="97" spans="1:1" x14ac:dyDescent="0.35">
      <c r="A97" s="121"/>
    </row>
    <row r="98" spans="1:1" x14ac:dyDescent="0.35">
      <c r="A98" s="121"/>
    </row>
  </sheetData>
  <mergeCells count="27">
    <mergeCell ref="Q6:Q8"/>
    <mergeCell ref="A2:U2"/>
    <mergeCell ref="A3:U3"/>
    <mergeCell ref="A5:A8"/>
    <mergeCell ref="B5:B8"/>
    <mergeCell ref="C5:F5"/>
    <mergeCell ref="G5:R5"/>
    <mergeCell ref="S5:U5"/>
    <mergeCell ref="C6:C8"/>
    <mergeCell ref="D6:D8"/>
    <mergeCell ref="E6:E8"/>
    <mergeCell ref="A13:B13"/>
    <mergeCell ref="R6:R8"/>
    <mergeCell ref="S6:S8"/>
    <mergeCell ref="T6:T8"/>
    <mergeCell ref="U6:U8"/>
    <mergeCell ref="H7:H8"/>
    <mergeCell ref="I7:J7"/>
    <mergeCell ref="K7:K8"/>
    <mergeCell ref="L7:M7"/>
    <mergeCell ref="N7:N8"/>
    <mergeCell ref="O7:P7"/>
    <mergeCell ref="F6:F8"/>
    <mergeCell ref="G6:G8"/>
    <mergeCell ref="H6:J6"/>
    <mergeCell ref="K6:M6"/>
    <mergeCell ref="N6:P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9</vt:i4>
      </vt:variant>
    </vt:vector>
  </HeadingPairs>
  <TitlesOfParts>
    <vt:vector size="9" baseType="lpstr">
      <vt:lpstr>Biểu cân đối</vt:lpstr>
      <vt:lpstr>Quyết toán thu NS</vt:lpstr>
      <vt:lpstr>Quyết toán chi ngân sách</vt:lpstr>
      <vt:lpstr>Quyết toán chi theo lĩnh vực</vt:lpstr>
      <vt:lpstr>Quyết toán chi đầu phát triển</vt:lpstr>
      <vt:lpstr>Bảng quỹ ngoài ngân sách</vt:lpstr>
      <vt:lpstr>Thu DV</vt:lpstr>
      <vt:lpstr>Quyết toán chi đầu tư</vt:lpstr>
      <vt:lpstr>Quyết toán CTX, CTMT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cp:lastPrinted>2026-04-28T07:47:23Z</cp:lastPrinted>
  <dcterms:created xsi:type="dcterms:W3CDTF">2026-04-28T06:52:19Z</dcterms:created>
  <dcterms:modified xsi:type="dcterms:W3CDTF">2026-04-28T08:27:16Z</dcterms:modified>
</cp:coreProperties>
</file>